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19440" windowHeight="8115"/>
  </bookViews>
  <sheets>
    <sheet name="Inicio" sheetId="3" r:id="rId1"/>
    <sheet name="Entradas" sheetId="2" r:id="rId2"/>
    <sheet name="Salidas" sheetId="4" r:id="rId3"/>
    <sheet name="Cálculos" sheetId="1" r:id="rId4"/>
  </sheets>
  <calcPr calcId="124519"/>
</workbook>
</file>

<file path=xl/calcChain.xml><?xml version="1.0" encoding="utf-8"?>
<calcChain xmlns="http://schemas.openxmlformats.org/spreadsheetml/2006/main">
  <c r="O114" i="1"/>
  <c r="N123"/>
  <c r="N122"/>
  <c r="N121"/>
  <c r="N120"/>
  <c r="K119"/>
  <c r="N119"/>
  <c r="N117"/>
  <c r="N116"/>
  <c r="N115"/>
  <c r="K114"/>
  <c r="D218"/>
  <c r="E220" s="1"/>
  <c r="D17"/>
  <c r="D197" s="1"/>
  <c r="D15"/>
  <c r="D13"/>
  <c r="D11"/>
  <c r="D9"/>
  <c r="D6"/>
  <c r="D5"/>
  <c r="K118"/>
  <c r="D196" l="1"/>
  <c r="E185"/>
  <c r="D185"/>
  <c r="D150"/>
  <c r="D166" s="1"/>
  <c r="C144"/>
  <c r="D144"/>
  <c r="D143"/>
  <c r="C146"/>
  <c r="L146" s="1"/>
  <c r="E201" s="1"/>
  <c r="C143"/>
  <c r="F85"/>
  <c r="F84"/>
  <c r="K124"/>
  <c r="K113"/>
  <c r="E126"/>
  <c r="G114"/>
  <c r="H114" s="1"/>
  <c r="I114" s="1"/>
  <c r="G115"/>
  <c r="H115" s="1"/>
  <c r="I115" s="1"/>
  <c r="G116"/>
  <c r="H116" s="1"/>
  <c r="I116" s="1"/>
  <c r="G117"/>
  <c r="H117" s="1"/>
  <c r="I117" s="1"/>
  <c r="G118"/>
  <c r="H118" s="1"/>
  <c r="I118" s="1"/>
  <c r="G119"/>
  <c r="H119" s="1"/>
  <c r="I119" s="1"/>
  <c r="G120"/>
  <c r="H120" s="1"/>
  <c r="I120" s="1"/>
  <c r="G121"/>
  <c r="H121" s="1"/>
  <c r="I121" s="1"/>
  <c r="G122"/>
  <c r="H122" s="1"/>
  <c r="I122" s="1"/>
  <c r="G123"/>
  <c r="H123" s="1"/>
  <c r="I123" s="1"/>
  <c r="G124"/>
  <c r="H124" s="1"/>
  <c r="I124" s="1"/>
  <c r="G113"/>
  <c r="H113" s="1"/>
  <c r="F123"/>
  <c r="O123" s="1"/>
  <c r="F124"/>
  <c r="O124" s="1"/>
  <c r="F114"/>
  <c r="L114" s="1"/>
  <c r="F115"/>
  <c r="O115" s="1"/>
  <c r="F116"/>
  <c r="O116" s="1"/>
  <c r="F117"/>
  <c r="O117" s="1"/>
  <c r="F118"/>
  <c r="O118" s="1"/>
  <c r="F119"/>
  <c r="O119" s="1"/>
  <c r="F120"/>
  <c r="O120" s="1"/>
  <c r="F121"/>
  <c r="O121" s="1"/>
  <c r="F122"/>
  <c r="O122" s="1"/>
  <c r="F113"/>
  <c r="O113" s="1"/>
  <c r="D109"/>
  <c r="D137" s="1"/>
  <c r="J114" l="1"/>
  <c r="P114" s="1"/>
  <c r="K123"/>
  <c r="K122" s="1"/>
  <c r="K121" s="1"/>
  <c r="K120" s="1"/>
  <c r="K115"/>
  <c r="K116" s="1"/>
  <c r="K117" s="1"/>
  <c r="H126"/>
  <c r="I113"/>
  <c r="J113" s="1"/>
  <c r="P113" s="1"/>
  <c r="F126"/>
  <c r="G126"/>
  <c r="M114" l="1"/>
  <c r="L118"/>
  <c r="I126"/>
  <c r="L115" l="1"/>
  <c r="L116"/>
  <c r="L117"/>
  <c r="L113" l="1"/>
  <c r="J121" l="1"/>
  <c r="J117"/>
  <c r="J124"/>
  <c r="J120"/>
  <c r="J116"/>
  <c r="J123"/>
  <c r="J119"/>
  <c r="J115"/>
  <c r="J122"/>
  <c r="J118"/>
  <c r="D152"/>
  <c r="D151"/>
  <c r="D160" l="1"/>
  <c r="D176" s="1"/>
  <c r="P122"/>
  <c r="D154"/>
  <c r="D170" s="1"/>
  <c r="P116"/>
  <c r="D159"/>
  <c r="D175" s="1"/>
  <c r="P121"/>
  <c r="D153"/>
  <c r="D169" s="1"/>
  <c r="P115"/>
  <c r="D158"/>
  <c r="D174" s="1"/>
  <c r="P120"/>
  <c r="D157"/>
  <c r="D173" s="1"/>
  <c r="P119"/>
  <c r="D162"/>
  <c r="D178" s="1"/>
  <c r="P124"/>
  <c r="D156"/>
  <c r="D172" s="1"/>
  <c r="P118"/>
  <c r="D161"/>
  <c r="D177" s="1"/>
  <c r="P123"/>
  <c r="D155"/>
  <c r="D171" s="1"/>
  <c r="P117"/>
  <c r="D168"/>
  <c r="D167"/>
  <c r="J126"/>
  <c r="D132" s="1"/>
  <c r="M113"/>
  <c r="M118"/>
  <c r="M115"/>
  <c r="M117"/>
  <c r="M116"/>
  <c r="D179" l="1"/>
  <c r="L124"/>
  <c r="M124" s="1"/>
  <c r="L119"/>
  <c r="L123"/>
  <c r="M123" s="1"/>
  <c r="L120"/>
  <c r="M120" s="1"/>
  <c r="L122"/>
  <c r="M122" s="1"/>
  <c r="L121"/>
  <c r="M121" s="1"/>
  <c r="L126" l="1"/>
  <c r="M119"/>
  <c r="M126" s="1"/>
  <c r="D146" s="1"/>
  <c r="K126"/>
  <c r="K127" s="1"/>
  <c r="E146" l="1"/>
  <c r="E144"/>
  <c r="F144" s="1"/>
  <c r="E143"/>
  <c r="D138"/>
  <c r="F138" s="1"/>
  <c r="G143" l="1"/>
  <c r="J143" s="1"/>
  <c r="K143" l="1"/>
  <c r="G144"/>
  <c r="J144" s="1"/>
  <c r="H143"/>
  <c r="I143"/>
  <c r="L144" l="1"/>
  <c r="D201" s="1"/>
  <c r="D203"/>
  <c r="I144"/>
  <c r="H144"/>
  <c r="G146" s="1"/>
  <c r="D214" s="1"/>
  <c r="K144"/>
  <c r="J146" l="1"/>
  <c r="E203" s="1"/>
  <c r="G203" s="1"/>
  <c r="D215" s="1"/>
  <c r="E153"/>
  <c r="D202"/>
  <c r="K146"/>
  <c r="H146"/>
  <c r="I146"/>
  <c r="F151" s="1"/>
  <c r="E162"/>
  <c r="E158"/>
  <c r="E174" s="1"/>
  <c r="E154"/>
  <c r="E170" s="1"/>
  <c r="E151"/>
  <c r="E167" s="1"/>
  <c r="E159"/>
  <c r="E175" s="1"/>
  <c r="E155"/>
  <c r="E171" s="1"/>
  <c r="E160"/>
  <c r="E176" s="1"/>
  <c r="E156"/>
  <c r="E172" s="1"/>
  <c r="E152"/>
  <c r="E168" s="1"/>
  <c r="E161"/>
  <c r="E177" s="1"/>
  <c r="E157"/>
  <c r="E173" s="1"/>
  <c r="E169"/>
  <c r="E178"/>
  <c r="F152" l="1"/>
  <c r="F168" s="1"/>
  <c r="E202"/>
  <c r="G202" s="1"/>
  <c r="D216" s="1"/>
  <c r="F155"/>
  <c r="F171" s="1"/>
  <c r="F167"/>
  <c r="F158"/>
  <c r="F174" s="1"/>
  <c r="F159"/>
  <c r="F175" s="1"/>
  <c r="F162"/>
  <c r="F178" s="1"/>
  <c r="F154"/>
  <c r="F170" s="1"/>
  <c r="F161"/>
  <c r="F177" s="1"/>
  <c r="F157"/>
  <c r="F173" s="1"/>
  <c r="F153"/>
  <c r="F169" s="1"/>
  <c r="F160"/>
  <c r="F176" s="1"/>
  <c r="F156"/>
  <c r="F172" s="1"/>
  <c r="E179"/>
  <c r="B5" i="4" l="1"/>
  <c r="D190" i="1"/>
  <c r="D191"/>
  <c r="D208"/>
  <c r="F179"/>
  <c r="E191" s="1"/>
  <c r="D182"/>
  <c r="D204" s="1"/>
  <c r="D193" l="1"/>
  <c r="D205" s="1"/>
  <c r="E208"/>
  <c r="G208" s="1"/>
  <c r="D223" s="1"/>
  <c r="E190"/>
  <c r="E182"/>
  <c r="E204" s="1"/>
  <c r="G204" s="1"/>
  <c r="H204" s="1"/>
  <c r="D219" s="1"/>
  <c r="B7" i="4" l="1"/>
  <c r="B11"/>
  <c r="E193" i="1"/>
  <c r="E207" s="1"/>
  <c r="D206"/>
  <c r="D207"/>
  <c r="E205" l="1"/>
  <c r="E206" s="1"/>
  <c r="G206" s="1"/>
  <c r="D222" s="1"/>
  <c r="G207"/>
  <c r="D220" s="1"/>
  <c r="G205" l="1"/>
  <c r="D221" s="1"/>
  <c r="B9" i="4" l="1"/>
</calcChain>
</file>

<file path=xl/sharedStrings.xml><?xml version="1.0" encoding="utf-8"?>
<sst xmlns="http://schemas.openxmlformats.org/spreadsheetml/2006/main" count="237" uniqueCount="148">
  <si>
    <t xml:space="preserve">Ubicación </t>
  </si>
  <si>
    <t xml:space="preserve">Usuario </t>
  </si>
  <si>
    <t xml:space="preserve">Contraseña </t>
  </si>
  <si>
    <t xml:space="preserve">Q = m * Cp * Dt </t>
  </si>
  <si>
    <t>kWh / kg</t>
  </si>
  <si>
    <t>T (op) =</t>
  </si>
  <si>
    <t xml:space="preserve">° C </t>
  </si>
  <si>
    <t>Número de usuarios (número de duchas diarias)</t>
  </si>
  <si>
    <t>Aguascalientes</t>
  </si>
  <si>
    <t>D.F.</t>
  </si>
  <si>
    <t>Ciudad de México</t>
  </si>
  <si>
    <t>Guerrero</t>
  </si>
  <si>
    <t>Acapulco</t>
  </si>
  <si>
    <t>Chihuahua</t>
  </si>
  <si>
    <t>Veracruz</t>
  </si>
  <si>
    <t>Enero</t>
  </si>
  <si>
    <t>Febrero</t>
  </si>
  <si>
    <t>Marzo</t>
  </si>
  <si>
    <t>Abril</t>
  </si>
  <si>
    <t>Mayo</t>
  </si>
  <si>
    <t>Junio</t>
  </si>
  <si>
    <t>Julio</t>
  </si>
  <si>
    <t>Agosto</t>
  </si>
  <si>
    <t>Septiembre</t>
  </si>
  <si>
    <t>Octubre</t>
  </si>
  <si>
    <t>Noviembre</t>
  </si>
  <si>
    <t>Diciembre</t>
  </si>
  <si>
    <t xml:space="preserve">Estado </t>
  </si>
  <si>
    <t>Ciudad</t>
  </si>
  <si>
    <t>Tabla de radiación media mensual [kWh / m² día]</t>
  </si>
  <si>
    <t xml:space="preserve">Tabla de temperatura media mensual [° C] </t>
  </si>
  <si>
    <t xml:space="preserve">Entradas </t>
  </si>
  <si>
    <t xml:space="preserve">Variables </t>
  </si>
  <si>
    <t xml:space="preserve">Número de usuarios </t>
  </si>
  <si>
    <t>Tipo de calentador actual</t>
  </si>
  <si>
    <t>Fuente energética actual</t>
  </si>
  <si>
    <t>lts</t>
  </si>
  <si>
    <t>Instantáneo</t>
  </si>
  <si>
    <t>Rápida recuperación</t>
  </si>
  <si>
    <t>Gas LP</t>
  </si>
  <si>
    <t>Otros consumos de agua caliente</t>
  </si>
  <si>
    <t>litros al día</t>
  </si>
  <si>
    <t>Depósito</t>
  </si>
  <si>
    <t xml:space="preserve">Unidad </t>
  </si>
  <si>
    <t xml:space="preserve">Volumen de agua caliente </t>
  </si>
  <si>
    <t xml:space="preserve">Volumen de agua por ducha </t>
  </si>
  <si>
    <t>Cp  Agua  =</t>
  </si>
  <si>
    <t xml:space="preserve">Enero </t>
  </si>
  <si>
    <t>Días por mes</t>
  </si>
  <si>
    <t xml:space="preserve">Consecutivo </t>
  </si>
  <si>
    <t>Kg</t>
  </si>
  <si>
    <r>
      <t>m</t>
    </r>
    <r>
      <rPr>
        <sz val="11"/>
        <color theme="1"/>
        <rFont val="Calibri"/>
        <family val="2"/>
      </rPr>
      <t xml:space="preserve">³ </t>
    </r>
  </si>
  <si>
    <t>Contenido energético [kWh]</t>
  </si>
  <si>
    <t xml:space="preserve">Tipo de colector </t>
  </si>
  <si>
    <t xml:space="preserve">Colector solar plano con cubierta </t>
  </si>
  <si>
    <t>Temperatura [°C]</t>
  </si>
  <si>
    <t>Temperatura del agua [°C]</t>
  </si>
  <si>
    <t>Irradiación media mensual [kWh / m2 día]</t>
  </si>
  <si>
    <t xml:space="preserve">Mínima </t>
  </si>
  <si>
    <t>Máxima</t>
  </si>
  <si>
    <t xml:space="preserve">Precios de equipos (instalación Incluida) </t>
  </si>
  <si>
    <r>
      <t>Precio por m</t>
    </r>
    <r>
      <rPr>
        <sz val="11"/>
        <color theme="0"/>
        <rFont val="Calibri"/>
        <family val="2"/>
      </rPr>
      <t xml:space="preserve">² en Termosifón </t>
    </r>
  </si>
  <si>
    <r>
      <t>Precio por m</t>
    </r>
    <r>
      <rPr>
        <sz val="11"/>
        <color theme="0"/>
        <rFont val="Calibri"/>
        <family val="2"/>
      </rPr>
      <t xml:space="preserve">² en sistema central </t>
    </r>
  </si>
  <si>
    <t xml:space="preserve">Co2 </t>
  </si>
  <si>
    <t xml:space="preserve">Tablas y Variables </t>
  </si>
  <si>
    <t xml:space="preserve">Eficiencia real </t>
  </si>
  <si>
    <t>T (agua) = T (ambiente) +</t>
  </si>
  <si>
    <t>Q Calor necesario para calentar agua [kWh]</t>
  </si>
  <si>
    <t xml:space="preserve">Relación Volumen - Área </t>
  </si>
  <si>
    <t xml:space="preserve">Volumen </t>
  </si>
  <si>
    <t xml:space="preserve">Lts / m2 </t>
  </si>
  <si>
    <t xml:space="preserve">Cálculos </t>
  </si>
  <si>
    <t xml:space="preserve">T - CSP - 150 - 2 </t>
  </si>
  <si>
    <t xml:space="preserve">T - CSP - 300 - 4 </t>
  </si>
  <si>
    <t>C - CSP</t>
  </si>
  <si>
    <t xml:space="preserve">Sistemas termosifón con colectores solares planos </t>
  </si>
  <si>
    <r>
      <t>Área de absorción [m</t>
    </r>
    <r>
      <rPr>
        <sz val="11"/>
        <color theme="1"/>
        <rFont val="Calibri"/>
        <family val="2"/>
      </rPr>
      <t>²]</t>
    </r>
  </si>
  <si>
    <t>Volumen del termotanque</t>
  </si>
  <si>
    <t>Mes</t>
  </si>
  <si>
    <t xml:space="preserve">Se elige un sistema prefabricado el área es por lo menos el </t>
  </si>
  <si>
    <t xml:space="preserve">del área requerida </t>
  </si>
  <si>
    <t xml:space="preserve">Sistema propuesto </t>
  </si>
  <si>
    <t xml:space="preserve">Calor requerido promedio anual </t>
  </si>
  <si>
    <t xml:space="preserve">kWh / mes </t>
  </si>
  <si>
    <t>Energía entregada [kWh]</t>
  </si>
  <si>
    <t xml:space="preserve">Sistema </t>
  </si>
  <si>
    <r>
      <t>Área [m</t>
    </r>
    <r>
      <rPr>
        <sz val="11"/>
        <color theme="1"/>
        <rFont val="Calibri"/>
        <family val="2"/>
      </rPr>
      <t>²]</t>
    </r>
  </si>
  <si>
    <t xml:space="preserve">Para control </t>
  </si>
  <si>
    <t xml:space="preserve">Energía entregada - seleccionado [kWh] </t>
  </si>
  <si>
    <t xml:space="preserve">Fracción Solar </t>
  </si>
  <si>
    <t xml:space="preserve">Factor de diseño en sistemas Centrales </t>
  </si>
  <si>
    <t xml:space="preserve">Precio </t>
  </si>
  <si>
    <t xml:space="preserve">Inversión </t>
  </si>
  <si>
    <t xml:space="preserve">Ahorro gas </t>
  </si>
  <si>
    <t>Gas Lp [Kg]</t>
  </si>
  <si>
    <r>
      <t>Gas Natural [m</t>
    </r>
    <r>
      <rPr>
        <sz val="11"/>
        <color theme="1"/>
        <rFont val="Calibri"/>
        <family val="2"/>
      </rPr>
      <t>³]</t>
    </r>
  </si>
  <si>
    <t>Emisiones evitadas [Kg anuales de Co2 eq]</t>
  </si>
  <si>
    <t>Ahorro [pesos al año]</t>
  </si>
  <si>
    <t>Ahorro [Kg o m3 al año]</t>
  </si>
  <si>
    <t>Retorno de Inversión</t>
  </si>
  <si>
    <t>Ahorro [kg o M3]</t>
  </si>
  <si>
    <t>Co2</t>
  </si>
  <si>
    <t xml:space="preserve">Eficiencia Gas </t>
  </si>
  <si>
    <t xml:space="preserve">Salidas </t>
  </si>
  <si>
    <t xml:space="preserve">Eficiencia  Sistema </t>
  </si>
  <si>
    <t xml:space="preserve">¿Olvido su contraseña? </t>
  </si>
  <si>
    <t xml:space="preserve">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Presentación </t>
  </si>
  <si>
    <t xml:space="preserve">Título de la herramienta Título de la herramienta Título de la herramienta </t>
  </si>
  <si>
    <t xml:space="preserve">Registrarse </t>
  </si>
  <si>
    <t>Área CSA</t>
  </si>
  <si>
    <t>Requerimiento de m2 de CS</t>
  </si>
  <si>
    <t>Eficiencia  Sistema CS</t>
  </si>
  <si>
    <t>Volumen de termotanque</t>
  </si>
  <si>
    <t>Área y volumen teóricos</t>
  </si>
  <si>
    <t>Selección del sistema</t>
  </si>
  <si>
    <t>Comparativa de la energía requerida contra la energía en el agua</t>
  </si>
  <si>
    <t xml:space="preserve">Energía solar realmente utilizada </t>
  </si>
  <si>
    <t>Total</t>
  </si>
  <si>
    <t>T - CS</t>
  </si>
  <si>
    <t>C - CS</t>
  </si>
  <si>
    <t>Eficiencia Norma</t>
  </si>
  <si>
    <t>¿Se selecciona el sistema? 0 = no, 1 =si</t>
  </si>
  <si>
    <t>Fracción solar</t>
  </si>
  <si>
    <t xml:space="preserve"> con un volumen de </t>
  </si>
  <si>
    <t xml:space="preserve">central </t>
  </si>
  <si>
    <t>termosifónico (circulación natural)</t>
  </si>
  <si>
    <r>
      <t xml:space="preserve"> m</t>
    </r>
    <r>
      <rPr>
        <vertAlign val="superscript"/>
        <sz val="11"/>
        <color theme="1"/>
        <rFont val="Calibri"/>
        <family val="2"/>
        <scheme val="minor"/>
      </rPr>
      <t>2</t>
    </r>
  </si>
  <si>
    <t xml:space="preserve"> litros y un área de absorción de </t>
  </si>
  <si>
    <t xml:space="preserve">Se propone instalar un sistema de Calentamiento Solar de Agua de tipo  </t>
  </si>
  <si>
    <t>%</t>
  </si>
  <si>
    <t xml:space="preserve">Este sistema va a reemplazar el  </t>
  </si>
  <si>
    <t xml:space="preserve"> que actualmente se consume con una fracción solar de  </t>
  </si>
  <si>
    <t>Gas Natural</t>
  </si>
  <si>
    <t xml:space="preserve">El ahorro estimado equivale a </t>
  </si>
  <si>
    <t xml:space="preserve">, por lo que se dejaría de gastar </t>
  </si>
  <si>
    <t xml:space="preserve"> pesos anuales. Y el sistema se pagaría aproximadamente en </t>
  </si>
  <si>
    <t xml:space="preserve">Con la instalación de este sistema se dejan de emitir  </t>
  </si>
  <si>
    <r>
      <t xml:space="preserve"> Kg anuales de CO</t>
    </r>
    <r>
      <rPr>
        <vertAlign val="subscript"/>
        <sz val="11"/>
        <color theme="1"/>
        <rFont val="Calibri"/>
        <family val="2"/>
        <scheme val="minor"/>
      </rPr>
      <t>2</t>
    </r>
    <r>
      <rPr>
        <sz val="11"/>
        <color theme="1"/>
        <rFont val="Calibri"/>
        <family val="2"/>
        <scheme val="minor"/>
      </rPr>
      <t xml:space="preserve"> </t>
    </r>
    <r>
      <rPr>
        <vertAlign val="subscript"/>
        <sz val="11"/>
        <color theme="1"/>
        <rFont val="Calibri"/>
        <family val="2"/>
        <scheme val="minor"/>
      </rPr>
      <t>equivalente</t>
    </r>
  </si>
  <si>
    <t xml:space="preserve">  años</t>
  </si>
  <si>
    <t>Sistema de calentamiento solar de agua</t>
  </si>
  <si>
    <t>Cambiar diagrama (este puede ser para sistemas centrales o termosifonico)</t>
  </si>
  <si>
    <t xml:space="preserve">En la siguiente gráfica se muestra la aportacion de energia solar </t>
  </si>
  <si>
    <t xml:space="preserve">Incremento de temperatura </t>
  </si>
  <si>
    <t>Energía útil / m2 CSP [kWh/m2]</t>
  </si>
  <si>
    <t>Energía solar Útil T - CSP [kWh]</t>
  </si>
  <si>
    <t>Energía solar Útil T - CS [kWh]</t>
  </si>
  <si>
    <t>Energía solar Útil C - CS  [kWh]</t>
  </si>
  <si>
    <t>Área de absorción</t>
  </si>
</sst>
</file>

<file path=xl/styles.xml><?xml version="1.0" encoding="utf-8"?>
<styleSheet xmlns="http://schemas.openxmlformats.org/spreadsheetml/2006/main">
  <numFmts count="9">
    <numFmt numFmtId="44" formatCode="_-&quot;$&quot;* #,##0.00_-;\-&quot;$&quot;* #,##0.00_-;_-&quot;$&quot;* &quot;-&quot;??_-;_-@_-"/>
    <numFmt numFmtId="43" formatCode="_-* #,##0.00_-;\-* #,##0.00_-;_-* &quot;-&quot;??_-;_-@_-"/>
    <numFmt numFmtId="164" formatCode="_-* #,##0.00000_-;\-* #,##0.00000_-;_-* &quot;-&quot;??_-;_-@_-"/>
    <numFmt numFmtId="165" formatCode="_-* #,##0_-;\-* #,##0_-;_-* &quot;-&quot;??_-;_-@_-"/>
    <numFmt numFmtId="166" formatCode="0.0%"/>
    <numFmt numFmtId="167" formatCode="_-&quot;$&quot;* #,##0_-;\-&quot;$&quot;* #,##0_-;_-&quot;$&quot;* &quot;-&quot;??_-;_-@_-"/>
    <numFmt numFmtId="168" formatCode="_-* #,##0.0_-;\-* #,##0.0_-;_-* &quot;-&quot;??_-;_-@_-"/>
    <numFmt numFmtId="169" formatCode="0.0000000000"/>
    <numFmt numFmtId="170" formatCode="0.00000000"/>
  </numFmts>
  <fonts count="16">
    <font>
      <sz val="11"/>
      <color theme="1"/>
      <name val="Calibri"/>
      <family val="2"/>
      <scheme val="minor"/>
    </font>
    <font>
      <sz val="11"/>
      <color theme="1"/>
      <name val="Calibri"/>
      <family val="2"/>
      <scheme val="minor"/>
    </font>
    <font>
      <sz val="11"/>
      <color theme="0"/>
      <name val="Calibri"/>
      <family val="2"/>
      <scheme val="minor"/>
    </font>
    <font>
      <b/>
      <sz val="12"/>
      <color theme="1"/>
      <name val="Calibri"/>
      <family val="2"/>
      <scheme val="minor"/>
    </font>
    <font>
      <sz val="11"/>
      <color theme="1"/>
      <name val="Calibri"/>
      <family val="2"/>
    </font>
    <font>
      <sz val="10"/>
      <color theme="0"/>
      <name val="Calibri"/>
      <family val="2"/>
      <scheme val="minor"/>
    </font>
    <font>
      <sz val="11"/>
      <name val="Calibri"/>
      <family val="2"/>
      <scheme val="minor"/>
    </font>
    <font>
      <sz val="10"/>
      <name val="Calibri"/>
      <family val="2"/>
      <scheme val="minor"/>
    </font>
    <font>
      <sz val="11"/>
      <color theme="0"/>
      <name val="Calibri"/>
      <family val="2"/>
    </font>
    <font>
      <b/>
      <sz val="11"/>
      <color theme="1"/>
      <name val="Calibri"/>
      <family val="2"/>
      <scheme val="minor"/>
    </font>
    <font>
      <b/>
      <sz val="14"/>
      <color theme="1"/>
      <name val="Calibri"/>
      <family val="2"/>
      <scheme val="minor"/>
    </font>
    <font>
      <u/>
      <sz val="11"/>
      <color theme="1"/>
      <name val="Calibri"/>
      <family val="2"/>
      <scheme val="minor"/>
    </font>
    <font>
      <sz val="18"/>
      <color theme="1"/>
      <name val="Calibri"/>
      <family val="2"/>
      <scheme val="minor"/>
    </font>
    <font>
      <vertAlign val="superscript"/>
      <sz val="11"/>
      <color theme="1"/>
      <name val="Calibri"/>
      <family val="2"/>
      <scheme val="minor"/>
    </font>
    <font>
      <vertAlign val="subscript"/>
      <sz val="11"/>
      <color theme="1"/>
      <name val="Calibri"/>
      <family val="2"/>
      <scheme val="minor"/>
    </font>
    <font>
      <sz val="14"/>
      <color theme="1"/>
      <name val="Calibri"/>
      <family val="2"/>
      <scheme val="minor"/>
    </font>
  </fonts>
  <fills count="16">
    <fill>
      <patternFill patternType="none"/>
    </fill>
    <fill>
      <patternFill patternType="gray125"/>
    </fill>
    <fill>
      <patternFill patternType="solid">
        <fgColor theme="0" tint="-0.14999847407452621"/>
        <bgColor theme="0" tint="-0.14999847407452621"/>
      </patternFill>
    </fill>
    <fill>
      <patternFill patternType="solid">
        <fgColor theme="2" tint="-0.499984740745262"/>
        <bgColor indexed="64"/>
      </patternFill>
    </fill>
    <fill>
      <patternFill patternType="solid">
        <fgColor theme="2" tint="-0.749992370372631"/>
        <bgColor theme="1"/>
      </patternFill>
    </fill>
    <fill>
      <patternFill patternType="solid">
        <fgColor theme="2" tint="-0.749992370372631"/>
        <bgColor indexed="64"/>
      </patternFill>
    </fill>
    <fill>
      <patternFill patternType="solid">
        <fgColor theme="1"/>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B05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0" fillId="0" borderId="1" xfId="0" applyBorder="1"/>
    <xf numFmtId="0" fontId="3" fillId="0" borderId="2" xfId="0" applyFont="1" applyBorder="1"/>
    <xf numFmtId="0" fontId="0" fillId="0" borderId="0" xfId="0" applyFont="1"/>
    <xf numFmtId="0" fontId="0" fillId="0" borderId="1" xfId="0" applyFont="1" applyBorder="1"/>
    <xf numFmtId="0" fontId="0" fillId="0" borderId="2" xfId="0" applyFont="1" applyBorder="1"/>
    <xf numFmtId="0" fontId="2" fillId="4" borderId="1" xfId="0" applyFont="1" applyFill="1" applyBorder="1" applyAlignment="1">
      <alignment horizontal="left" vertical="center" wrapText="1"/>
    </xf>
    <xf numFmtId="0" fontId="6" fillId="2" borderId="1" xfId="0" applyFont="1" applyFill="1" applyBorder="1" applyAlignment="1">
      <alignment horizontal="left" vertical="center"/>
    </xf>
    <xf numFmtId="43" fontId="7" fillId="2" borderId="1" xfId="1" applyNumberFormat="1" applyFont="1" applyFill="1" applyBorder="1" applyAlignment="1">
      <alignment horizontal="center" vertical="center"/>
    </xf>
    <xf numFmtId="43" fontId="7" fillId="2" borderId="1" xfId="1" applyNumberFormat="1" applyFont="1" applyFill="1" applyBorder="1" applyAlignment="1">
      <alignment horizontal="center" vertical="center" wrapText="1"/>
    </xf>
    <xf numFmtId="0" fontId="6" fillId="0" borderId="1" xfId="0" applyFont="1" applyFill="1" applyBorder="1" applyAlignment="1">
      <alignment horizontal="left" vertical="center"/>
    </xf>
    <xf numFmtId="43" fontId="7" fillId="0" borderId="1" xfId="1" applyNumberFormat="1" applyFont="1" applyFill="1" applyBorder="1" applyAlignment="1">
      <alignment horizontal="center" vertical="center"/>
    </xf>
    <xf numFmtId="0" fontId="5" fillId="5" borderId="1" xfId="0" applyFont="1" applyFill="1" applyBorder="1" applyAlignment="1">
      <alignment horizontal="center" vertical="center" wrapText="1"/>
    </xf>
    <xf numFmtId="43" fontId="7" fillId="0" borderId="1" xfId="1" applyNumberFormat="1" applyFont="1" applyFill="1" applyBorder="1" applyAlignment="1">
      <alignment horizontal="center"/>
    </xf>
    <xf numFmtId="43" fontId="7" fillId="0" borderId="1" xfId="1" applyNumberFormat="1" applyFont="1" applyFill="1" applyBorder="1" applyAlignment="1">
      <alignment horizontal="center" vertical="center" wrapText="1"/>
    </xf>
    <xf numFmtId="0" fontId="0" fillId="0" borderId="0" xfId="0" applyFont="1" applyAlignment="1">
      <alignment horizontal="left" vertical="center" wrapText="1"/>
    </xf>
    <xf numFmtId="0" fontId="0" fillId="0" borderId="1" xfId="0" applyFont="1" applyBorder="1" applyAlignment="1">
      <alignment horizontal="center" vertical="center"/>
    </xf>
    <xf numFmtId="0" fontId="2" fillId="6" borderId="1"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Font="1" applyFill="1" applyBorder="1"/>
    <xf numFmtId="0" fontId="0" fillId="0" borderId="1" xfId="0" applyFont="1" applyFill="1" applyBorder="1"/>
    <xf numFmtId="0" fontId="2" fillId="6" borderId="1" xfId="0" applyFont="1" applyFill="1" applyBorder="1"/>
    <xf numFmtId="0" fontId="0" fillId="0" borderId="0" xfId="0" applyAlignment="1">
      <alignment horizontal="center" vertical="center" wrapText="1"/>
    </xf>
    <xf numFmtId="0" fontId="0" fillId="0" borderId="2" xfId="0" applyFont="1" applyBorder="1" applyAlignment="1">
      <alignment horizontal="center" vertical="center"/>
    </xf>
    <xf numFmtId="0" fontId="0" fillId="0" borderId="1" xfId="0" applyFill="1" applyBorder="1"/>
    <xf numFmtId="0" fontId="0" fillId="0" borderId="0" xfId="0" applyFont="1" applyFill="1"/>
    <xf numFmtId="0" fontId="0" fillId="8" borderId="0" xfId="0" applyFont="1" applyFill="1"/>
    <xf numFmtId="43" fontId="0" fillId="0" borderId="1" xfId="1" applyFont="1" applyBorder="1"/>
    <xf numFmtId="0" fontId="2" fillId="5" borderId="1" xfId="0" applyFont="1" applyFill="1" applyBorder="1" applyAlignment="1">
      <alignment horizontal="center" vertical="center" wrapText="1"/>
    </xf>
    <xf numFmtId="43" fontId="0" fillId="0" borderId="1" xfId="0" applyNumberFormat="1" applyFont="1" applyBorder="1"/>
    <xf numFmtId="165" fontId="0" fillId="0" borderId="1" xfId="1" applyNumberFormat="1" applyFont="1" applyBorder="1"/>
    <xf numFmtId="43" fontId="0" fillId="0" borderId="1" xfId="1" applyNumberFormat="1" applyFont="1" applyBorder="1"/>
    <xf numFmtId="43" fontId="0" fillId="0" borderId="1" xfId="1" applyNumberFormat="1" applyFont="1" applyFill="1" applyBorder="1"/>
    <xf numFmtId="0" fontId="0" fillId="8" borderId="1" xfId="0" applyFont="1" applyFill="1" applyBorder="1"/>
    <xf numFmtId="0" fontId="0" fillId="8" borderId="1" xfId="0" applyFill="1" applyBorder="1" applyAlignment="1">
      <alignment horizontal="center" vertical="center" wrapText="1"/>
    </xf>
    <xf numFmtId="9" fontId="0" fillId="0" borderId="1" xfId="3" applyFont="1" applyBorder="1"/>
    <xf numFmtId="166" fontId="0" fillId="0" borderId="1" xfId="0" applyNumberFormat="1" applyFont="1" applyBorder="1"/>
    <xf numFmtId="167" fontId="0" fillId="0" borderId="1" xfId="2" applyNumberFormat="1" applyFont="1" applyBorder="1"/>
    <xf numFmtId="43" fontId="0" fillId="0" borderId="1" xfId="0" applyNumberFormat="1" applyFont="1" applyFill="1" applyBorder="1"/>
    <xf numFmtId="9" fontId="0" fillId="9" borderId="1" xfId="3" applyFont="1" applyFill="1" applyBorder="1"/>
    <xf numFmtId="0" fontId="0" fillId="0" borderId="0" xfId="0" applyFill="1" applyBorder="1"/>
    <xf numFmtId="0" fontId="10" fillId="0" borderId="2" xfId="0" applyFont="1" applyBorder="1"/>
    <xf numFmtId="0" fontId="0" fillId="10" borderId="0" xfId="0" applyFont="1" applyFill="1"/>
    <xf numFmtId="0" fontId="0" fillId="11" borderId="0" xfId="0" applyFont="1" applyFill="1"/>
    <xf numFmtId="9" fontId="0" fillId="0" borderId="1" xfId="0" applyNumberFormat="1" applyFont="1" applyBorder="1"/>
    <xf numFmtId="0" fontId="0" fillId="0" borderId="1" xfId="0" applyFont="1" applyBorder="1" applyAlignment="1">
      <alignment horizontal="left" indent="2"/>
    </xf>
    <xf numFmtId="0" fontId="9" fillId="0" borderId="0" xfId="0" applyFont="1"/>
    <xf numFmtId="43" fontId="0" fillId="8" borderId="1" xfId="0" applyNumberFormat="1" applyFont="1" applyFill="1" applyBorder="1"/>
    <xf numFmtId="0" fontId="9" fillId="0" borderId="2" xfId="0" applyFont="1" applyBorder="1"/>
    <xf numFmtId="0" fontId="0" fillId="0" borderId="0" xfId="0" applyFill="1" applyBorder="1" applyAlignment="1">
      <alignment horizontal="left" indent="2"/>
    </xf>
    <xf numFmtId="0" fontId="0"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left" indent="2"/>
    </xf>
    <xf numFmtId="0" fontId="0" fillId="0" borderId="1" xfId="0" applyBorder="1" applyAlignment="1">
      <alignment horizontal="center" wrapText="1"/>
    </xf>
    <xf numFmtId="0" fontId="0" fillId="8" borderId="1" xfId="0" applyFill="1" applyBorder="1"/>
    <xf numFmtId="0" fontId="0" fillId="0" borderId="0" xfId="0" applyFill="1" applyBorder="1" applyAlignment="1">
      <alignment horizontal="left" vertical="center" wrapText="1"/>
    </xf>
    <xf numFmtId="0" fontId="0" fillId="0" borderId="0" xfId="0" applyBorder="1"/>
    <xf numFmtId="9" fontId="0" fillId="3" borderId="0" xfId="0" applyNumberFormat="1" applyFont="1" applyFill="1"/>
    <xf numFmtId="164" fontId="0" fillId="7" borderId="0" xfId="1" applyNumberFormat="1" applyFont="1" applyFill="1"/>
    <xf numFmtId="0" fontId="0" fillId="3" borderId="0" xfId="0" applyFont="1" applyFill="1"/>
    <xf numFmtId="43" fontId="0" fillId="8" borderId="0" xfId="0" applyNumberFormat="1" applyFont="1" applyFill="1"/>
    <xf numFmtId="0" fontId="0" fillId="0" borderId="1" xfId="0" applyFill="1" applyBorder="1" applyAlignment="1">
      <alignment horizontal="center" vertical="center" wrapText="1"/>
    </xf>
    <xf numFmtId="0" fontId="0" fillId="13" borderId="1" xfId="0" applyFont="1" applyFill="1" applyBorder="1"/>
    <xf numFmtId="43" fontId="0" fillId="0" borderId="1" xfId="0" applyNumberFormat="1" applyBorder="1"/>
    <xf numFmtId="0" fontId="11" fillId="0" borderId="0" xfId="0" applyFont="1"/>
    <xf numFmtId="0" fontId="0" fillId="0" borderId="0" xfId="0" applyAlignment="1">
      <alignment horizontal="left" vertical="center" wrapText="1"/>
    </xf>
    <xf numFmtId="0" fontId="2" fillId="5" borderId="3" xfId="0" applyFont="1" applyFill="1" applyBorder="1" applyAlignment="1">
      <alignment horizontal="center" vertical="center" wrapText="1"/>
    </xf>
    <xf numFmtId="44" fontId="0" fillId="0" borderId="1" xfId="2" applyFont="1" applyBorder="1"/>
    <xf numFmtId="0" fontId="0" fillId="0" borderId="1" xfId="0" applyBorder="1" applyAlignment="1">
      <alignment wrapText="1"/>
    </xf>
    <xf numFmtId="168" fontId="0" fillId="0" borderId="1" xfId="0" applyNumberFormat="1" applyFont="1" applyBorder="1"/>
    <xf numFmtId="0" fontId="0" fillId="0" borderId="1" xfId="0" applyBorder="1" applyAlignment="1">
      <alignment horizontal="left" vertical="center" wrapText="1"/>
    </xf>
    <xf numFmtId="0" fontId="0" fillId="12" borderId="1" xfId="0" applyFill="1" applyBorder="1" applyAlignment="1">
      <alignment wrapText="1"/>
    </xf>
    <xf numFmtId="167" fontId="0" fillId="12" borderId="1" xfId="2" applyNumberFormat="1" applyFont="1" applyFill="1" applyBorder="1"/>
    <xf numFmtId="165" fontId="0" fillId="12" borderId="1" xfId="0" applyNumberFormat="1" applyFont="1" applyFill="1" applyBorder="1"/>
    <xf numFmtId="9" fontId="0" fillId="0" borderId="0" xfId="3" applyFont="1" applyBorder="1"/>
    <xf numFmtId="9" fontId="0" fillId="14" borderId="1" xfId="0" applyNumberFormat="1" applyFont="1" applyFill="1" applyBorder="1"/>
    <xf numFmtId="0" fontId="0" fillId="14" borderId="1" xfId="0" applyFont="1" applyFill="1" applyBorder="1"/>
    <xf numFmtId="0" fontId="0" fillId="14" borderId="1" xfId="0" applyFont="1" applyFill="1" applyBorder="1" applyAlignment="1">
      <alignment horizontal="left" indent="2"/>
    </xf>
    <xf numFmtId="0" fontId="0" fillId="14" borderId="1" xfId="0" applyFill="1" applyBorder="1" applyAlignment="1">
      <alignment horizontal="left" indent="2"/>
    </xf>
    <xf numFmtId="0" fontId="0" fillId="8" borderId="1" xfId="0" applyFont="1" applyFill="1" applyBorder="1" applyAlignment="1">
      <alignment horizontal="center" vertical="center"/>
    </xf>
    <xf numFmtId="0" fontId="0" fillId="8" borderId="1" xfId="0" applyFont="1" applyFill="1" applyBorder="1" applyAlignment="1">
      <alignment horizontal="center" vertical="center" wrapText="1"/>
    </xf>
    <xf numFmtId="167" fontId="0" fillId="0" borderId="1" xfId="0" applyNumberFormat="1" applyFont="1" applyBorder="1"/>
    <xf numFmtId="0" fontId="0" fillId="0" borderId="0" xfId="0" applyFont="1" applyBorder="1"/>
    <xf numFmtId="0" fontId="9" fillId="0" borderId="2" xfId="0" applyFont="1" applyFill="1" applyBorder="1"/>
    <xf numFmtId="0" fontId="9" fillId="0" borderId="4" xfId="0" applyFont="1" applyFill="1" applyBorder="1"/>
    <xf numFmtId="43" fontId="9" fillId="0" borderId="1" xfId="0" applyNumberFormat="1" applyFont="1" applyBorder="1"/>
    <xf numFmtId="9" fontId="6" fillId="0" borderId="1" xfId="3" applyFont="1" applyFill="1" applyBorder="1"/>
    <xf numFmtId="0" fontId="6" fillId="0" borderId="1" xfId="0" applyFont="1" applyFill="1" applyBorder="1"/>
    <xf numFmtId="9" fontId="6" fillId="15" borderId="1" xfId="3" applyFont="1" applyFill="1" applyBorder="1" applyAlignment="1">
      <alignment horizontal="center" vertical="center" wrapText="1"/>
    </xf>
    <xf numFmtId="0" fontId="6" fillId="15" borderId="1" xfId="0" applyFont="1" applyFill="1" applyBorder="1" applyAlignment="1">
      <alignment horizontal="center" vertical="center" wrapText="1"/>
    </xf>
    <xf numFmtId="168" fontId="0" fillId="0" borderId="1" xfId="1" applyNumberFormat="1" applyFont="1" applyBorder="1"/>
    <xf numFmtId="0" fontId="0" fillId="0" borderId="0" xfId="0" applyAlignment="1">
      <alignment wrapText="1"/>
    </xf>
    <xf numFmtId="165" fontId="0" fillId="0" borderId="0" xfId="0" applyNumberFormat="1" applyFont="1"/>
    <xf numFmtId="168" fontId="0" fillId="0" borderId="0" xfId="0" applyNumberFormat="1" applyFont="1"/>
    <xf numFmtId="167" fontId="0" fillId="0" borderId="0" xfId="0" applyNumberFormat="1" applyFont="1"/>
    <xf numFmtId="165" fontId="0" fillId="0" borderId="1" xfId="0" applyNumberFormat="1" applyFont="1" applyBorder="1"/>
    <xf numFmtId="0" fontId="0" fillId="0" borderId="0" xfId="0" applyProtection="1"/>
    <xf numFmtId="0" fontId="0" fillId="0" borderId="1" xfId="0" applyFont="1" applyBorder="1" applyAlignment="1" applyProtection="1">
      <alignment horizontal="center" vertical="center"/>
      <protection locked="0"/>
    </xf>
    <xf numFmtId="0" fontId="0" fillId="0" borderId="1" xfId="0" applyFont="1" applyBorder="1" applyAlignment="1" applyProtection="1">
      <alignment horizontal="center" vertical="center" wrapText="1"/>
      <protection locked="0"/>
    </xf>
    <xf numFmtId="0" fontId="0" fillId="0" borderId="2" xfId="0" applyFont="1" applyBorder="1" applyAlignment="1" applyProtection="1">
      <alignment horizontal="center" vertical="center"/>
      <protection locked="0"/>
    </xf>
    <xf numFmtId="0" fontId="0" fillId="0" borderId="1" xfId="0" applyFill="1" applyBorder="1" applyProtection="1">
      <protection locked="0"/>
    </xf>
    <xf numFmtId="0" fontId="0" fillId="0" borderId="1" xfId="0" applyFont="1" applyBorder="1" applyProtection="1">
      <protection locked="0"/>
    </xf>
    <xf numFmtId="0" fontId="0" fillId="0" borderId="0" xfId="0" applyProtection="1">
      <protection hidden="1"/>
    </xf>
    <xf numFmtId="0" fontId="0" fillId="0" borderId="0" xfId="0" applyFont="1" applyProtection="1">
      <protection hidden="1"/>
    </xf>
    <xf numFmtId="0" fontId="12" fillId="0" borderId="0" xfId="0" applyFont="1" applyProtection="1">
      <protection hidden="1"/>
    </xf>
    <xf numFmtId="0" fontId="10" fillId="0" borderId="2" xfId="0" applyFont="1" applyBorder="1" applyProtection="1">
      <protection hidden="1"/>
    </xf>
    <xf numFmtId="0" fontId="0" fillId="0" borderId="2" xfId="0" applyFont="1" applyBorder="1" applyProtection="1">
      <protection hidden="1"/>
    </xf>
    <xf numFmtId="0" fontId="0" fillId="0" borderId="0" xfId="0" applyFont="1" applyAlignment="1" applyProtection="1">
      <alignment horizontal="left" vertical="center" wrapText="1"/>
      <protection hidden="1"/>
    </xf>
    <xf numFmtId="0" fontId="0" fillId="0" borderId="0" xfId="0" applyAlignment="1" applyProtection="1">
      <alignment horizontal="center" vertical="center" wrapText="1"/>
      <protection hidden="1"/>
    </xf>
    <xf numFmtId="0" fontId="0" fillId="0" borderId="0" xfId="0" applyFont="1" applyFill="1" applyBorder="1" applyProtection="1">
      <protection hidden="1"/>
    </xf>
    <xf numFmtId="0" fontId="15" fillId="0" borderId="0" xfId="0" applyFont="1" applyProtection="1">
      <protection hidden="1"/>
    </xf>
    <xf numFmtId="0" fontId="0" fillId="0" borderId="0" xfId="0" applyAlignment="1" applyProtection="1">
      <alignment wrapText="1"/>
      <protection hidden="1"/>
    </xf>
    <xf numFmtId="10" fontId="0" fillId="0" borderId="0" xfId="0" applyNumberFormat="1" applyFont="1"/>
    <xf numFmtId="169" fontId="0" fillId="0" borderId="0" xfId="0" applyNumberFormat="1" applyFont="1"/>
    <xf numFmtId="170" fontId="0" fillId="0" borderId="0" xfId="0" applyNumberFormat="1" applyFont="1"/>
    <xf numFmtId="0" fontId="2" fillId="0" borderId="0" xfId="3" applyNumberFormat="1" applyFont="1"/>
    <xf numFmtId="0" fontId="0" fillId="0" borderId="0" xfId="3" applyNumberFormat="1" applyFont="1" applyBorder="1"/>
    <xf numFmtId="0" fontId="0" fillId="0" borderId="1" xfId="0" applyFont="1" applyBorder="1" applyAlignment="1" applyProtection="1">
      <alignment horizontal="center" wrapText="1"/>
      <protection locked="0"/>
    </xf>
    <xf numFmtId="0" fontId="0" fillId="0" borderId="1" xfId="0" applyFont="1" applyBorder="1" applyAlignment="1" applyProtection="1">
      <alignment horizontal="center"/>
      <protection locked="0"/>
    </xf>
    <xf numFmtId="0" fontId="0" fillId="0" borderId="0" xfId="0" applyAlignment="1" applyProtection="1">
      <alignment horizontal="center" vertical="center" wrapText="1"/>
      <protection hidden="1"/>
    </xf>
    <xf numFmtId="0" fontId="0" fillId="0" borderId="0" xfId="0" applyAlignment="1" applyProtection="1">
      <alignment horizontal="center" wrapText="1"/>
      <protection hidden="1"/>
    </xf>
  </cellXfs>
  <cellStyles count="4">
    <cellStyle name="Millares" xfId="1" builtinId="3"/>
    <cellStyle name="Moneda" xfId="2" builtinId="4"/>
    <cellStyle name="Normal" xfId="0" builtinId="0"/>
    <cellStyle name="Porcentual"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s-MX"/>
  <c:chart>
    <c:plotArea>
      <c:layout/>
      <c:areaChart>
        <c:grouping val="standard"/>
        <c:ser>
          <c:idx val="0"/>
          <c:order val="0"/>
          <c:tx>
            <c:strRef>
              <c:f>Cálculos!$D$166</c:f>
              <c:strCache>
                <c:ptCount val="1"/>
                <c:pt idx="0">
                  <c:v>Q Calor necesario para calentar agua [kWh]</c:v>
                </c:pt>
              </c:strCache>
            </c:strRef>
          </c:tx>
          <c:spPr>
            <a:solidFill>
              <a:schemeClr val="tx1"/>
            </a:solidFill>
            <a:ln>
              <a:solidFill>
                <a:sysClr val="windowText" lastClr="000000"/>
              </a:solidFill>
            </a:ln>
          </c:spPr>
          <c:cat>
            <c:strRef>
              <c:f>Cálculos!$C$167:$C$178</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Cálculos!$D$167:$D$178</c:f>
              <c:numCache>
                <c:formatCode>_-* #,##0.00_-;\-* #,##0.00_-;_-* "-"??_-;_-@_-</c:formatCode>
                <c:ptCount val="12"/>
                <c:pt idx="0">
                  <c:v>624.31983759999991</c:v>
                </c:pt>
                <c:pt idx="1">
                  <c:v>548.27402559999996</c:v>
                </c:pt>
                <c:pt idx="2">
                  <c:v>563.76225519999991</c:v>
                </c:pt>
                <c:pt idx="3">
                  <c:v>509.29764</c:v>
                </c:pt>
                <c:pt idx="4">
                  <c:v>497.43728400000003</c:v>
                </c:pt>
                <c:pt idx="5">
                  <c:v>489.76293600000002</c:v>
                </c:pt>
                <c:pt idx="6">
                  <c:v>526.27422799999999</c:v>
                </c:pt>
                <c:pt idx="7">
                  <c:v>529.15792240000007</c:v>
                </c:pt>
                <c:pt idx="8">
                  <c:v>520.460328</c:v>
                </c:pt>
                <c:pt idx="9">
                  <c:v>563.76225519999991</c:v>
                </c:pt>
                <c:pt idx="10">
                  <c:v>576.2737679999999</c:v>
                </c:pt>
                <c:pt idx="11">
                  <c:v>622.87799040000004</c:v>
                </c:pt>
              </c:numCache>
            </c:numRef>
          </c:val>
        </c:ser>
        <c:ser>
          <c:idx val="1"/>
          <c:order val="1"/>
          <c:tx>
            <c:strRef>
              <c:f>Cálculos!$E$166</c:f>
              <c:strCache>
                <c:ptCount val="1"/>
                <c:pt idx="0">
                  <c:v>Energía solar Útil T - CS [kWh]</c:v>
                </c:pt>
              </c:strCache>
            </c:strRef>
          </c:tx>
          <c:spPr>
            <a:solidFill>
              <a:srgbClr val="FFC000"/>
            </a:solidFill>
          </c:spPr>
          <c:cat>
            <c:strRef>
              <c:f>Cálculos!$C$167:$C$178</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Cálculos!$E$167:$E$178</c:f>
              <c:numCache>
                <c:formatCode>_-* #,##0.00_-;\-* #,##0.00_-;_-* "-"??_-;_-@_-</c:formatCode>
                <c:ptCount val="12"/>
                <c:pt idx="0">
                  <c:v>225.99</c:v>
                </c:pt>
                <c:pt idx="1">
                  <c:v>244.44916363636364</c:v>
                </c:pt>
                <c:pt idx="2">
                  <c:v>317.84694545454545</c:v>
                </c:pt>
                <c:pt idx="3">
                  <c:v>355.75200000000001</c:v>
                </c:pt>
                <c:pt idx="4">
                  <c:v>414.17803636363641</c:v>
                </c:pt>
                <c:pt idx="5">
                  <c:v>374.22000000000008</c:v>
                </c:pt>
                <c:pt idx="6">
                  <c:v>356.47069090909093</c:v>
                </c:pt>
                <c:pt idx="7">
                  <c:v>339.39589090909095</c:v>
                </c:pt>
                <c:pt idx="8">
                  <c:v>307.24036363636361</c:v>
                </c:pt>
                <c:pt idx="9">
                  <c:v>274.74905454545456</c:v>
                </c:pt>
                <c:pt idx="10">
                  <c:v>241.76290909090909</c:v>
                </c:pt>
                <c:pt idx="11">
                  <c:v>200.88000000000002</c:v>
                </c:pt>
              </c:numCache>
            </c:numRef>
          </c:val>
        </c:ser>
        <c:ser>
          <c:idx val="2"/>
          <c:order val="2"/>
          <c:tx>
            <c:strRef>
              <c:f>Cálculos!$F$166</c:f>
              <c:strCache>
                <c:ptCount val="1"/>
                <c:pt idx="0">
                  <c:v>Energía solar Útil C - CS  [kWh]</c:v>
                </c:pt>
              </c:strCache>
            </c:strRef>
          </c:tx>
          <c:spPr>
            <a:solidFill>
              <a:srgbClr val="FFC000"/>
            </a:solidFill>
          </c:spPr>
          <c:val>
            <c:numRef>
              <c:f>Cálculos!$F$167:$F$178</c:f>
              <c:numCache>
                <c:formatCode>_-* #,##0.00_-;\-* #,##0.00_-;_-*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axId val="67736704"/>
        <c:axId val="79828480"/>
      </c:areaChart>
      <c:catAx>
        <c:axId val="67736704"/>
        <c:scaling>
          <c:orientation val="minMax"/>
        </c:scaling>
        <c:axPos val="b"/>
        <c:tickLblPos val="nextTo"/>
        <c:crossAx val="79828480"/>
        <c:crosses val="autoZero"/>
        <c:auto val="1"/>
        <c:lblAlgn val="ctr"/>
        <c:lblOffset val="100"/>
      </c:catAx>
      <c:valAx>
        <c:axId val="79828480"/>
        <c:scaling>
          <c:orientation val="minMax"/>
        </c:scaling>
        <c:axPos val="l"/>
        <c:majorGridlines/>
        <c:numFmt formatCode="_-* #,##0_-;\-* #,##0_-;_-* &quot;-&quot;_-;_-@_-" sourceLinked="0"/>
        <c:tickLblPos val="nextTo"/>
        <c:crossAx val="67736704"/>
        <c:crosses val="autoZero"/>
        <c:crossBetween val="midCat"/>
      </c:valAx>
    </c:plotArea>
    <c:plotVisOnly val="1"/>
    <c:dispBlanksAs val="zero"/>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MX"/>
  <c:chart>
    <c:plotArea>
      <c:layout/>
      <c:lineChart>
        <c:grouping val="standard"/>
        <c:ser>
          <c:idx val="0"/>
          <c:order val="0"/>
          <c:tx>
            <c:strRef>
              <c:f>Cálculos!$D$150</c:f>
              <c:strCache>
                <c:ptCount val="1"/>
                <c:pt idx="0">
                  <c:v>Q Calor necesario para calentar agua [kWh]</c:v>
                </c:pt>
              </c:strCache>
            </c:strRef>
          </c:tx>
          <c:marker>
            <c:symbol val="none"/>
          </c:marker>
          <c:cat>
            <c:strRef>
              <c:f>Cálculos!$C$151:$C$162</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Cálculos!$D$151:$D$162</c:f>
              <c:numCache>
                <c:formatCode>_-* #,##0.00_-;\-* #,##0.00_-;_-* "-"??_-;_-@_-</c:formatCode>
                <c:ptCount val="12"/>
                <c:pt idx="0">
                  <c:v>624.31983759999991</c:v>
                </c:pt>
                <c:pt idx="1">
                  <c:v>548.27402559999996</c:v>
                </c:pt>
                <c:pt idx="2">
                  <c:v>563.76225519999991</c:v>
                </c:pt>
                <c:pt idx="3">
                  <c:v>509.29764</c:v>
                </c:pt>
                <c:pt idx="4">
                  <c:v>497.43728400000003</c:v>
                </c:pt>
                <c:pt idx="5">
                  <c:v>489.76293600000002</c:v>
                </c:pt>
                <c:pt idx="6">
                  <c:v>526.27422799999999</c:v>
                </c:pt>
                <c:pt idx="7">
                  <c:v>529.15792240000007</c:v>
                </c:pt>
                <c:pt idx="8">
                  <c:v>520.460328</c:v>
                </c:pt>
                <c:pt idx="9">
                  <c:v>563.76225519999991</c:v>
                </c:pt>
                <c:pt idx="10">
                  <c:v>576.2737679999999</c:v>
                </c:pt>
                <c:pt idx="11">
                  <c:v>622.87799040000004</c:v>
                </c:pt>
              </c:numCache>
            </c:numRef>
          </c:val>
        </c:ser>
        <c:ser>
          <c:idx val="1"/>
          <c:order val="1"/>
          <c:tx>
            <c:strRef>
              <c:f>Cálculos!$E$150</c:f>
              <c:strCache>
                <c:ptCount val="1"/>
                <c:pt idx="0">
                  <c:v>Energía solar Útil T - CSP [kWh]</c:v>
                </c:pt>
              </c:strCache>
            </c:strRef>
          </c:tx>
          <c:marker>
            <c:symbol val="none"/>
          </c:marker>
          <c:cat>
            <c:strRef>
              <c:f>Cálculos!$C$151:$C$162</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Cálculos!$E$151:$E$162</c:f>
              <c:numCache>
                <c:formatCode>_-* #,##0.00_-;\-* #,##0.00_-;_-* "-"??_-;_-@_-</c:formatCode>
                <c:ptCount val="12"/>
                <c:pt idx="0">
                  <c:v>225.99</c:v>
                </c:pt>
                <c:pt idx="1">
                  <c:v>244.44916363636364</c:v>
                </c:pt>
                <c:pt idx="2">
                  <c:v>317.84694545454545</c:v>
                </c:pt>
                <c:pt idx="3">
                  <c:v>355.75200000000001</c:v>
                </c:pt>
                <c:pt idx="4">
                  <c:v>414.17803636363641</c:v>
                </c:pt>
                <c:pt idx="5">
                  <c:v>374.22000000000008</c:v>
                </c:pt>
                <c:pt idx="6">
                  <c:v>356.47069090909093</c:v>
                </c:pt>
                <c:pt idx="7">
                  <c:v>339.39589090909095</c:v>
                </c:pt>
                <c:pt idx="8">
                  <c:v>307.24036363636361</c:v>
                </c:pt>
                <c:pt idx="9">
                  <c:v>274.74905454545456</c:v>
                </c:pt>
                <c:pt idx="10">
                  <c:v>241.76290909090909</c:v>
                </c:pt>
                <c:pt idx="11">
                  <c:v>200.88000000000002</c:v>
                </c:pt>
              </c:numCache>
            </c:numRef>
          </c:val>
        </c:ser>
        <c:ser>
          <c:idx val="2"/>
          <c:order val="2"/>
          <c:tx>
            <c:strRef>
              <c:f>Cálculos!#REF!</c:f>
              <c:strCache>
                <c:ptCount val="1"/>
                <c:pt idx="0">
                  <c:v>#REF!</c:v>
                </c:pt>
              </c:strCache>
            </c:strRef>
          </c:tx>
          <c:marker>
            <c:symbol val="none"/>
          </c:marker>
          <c:cat>
            <c:strRef>
              <c:f>Cálculos!$C$151:$C$162</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Cálculos!#REF!</c:f>
              <c:numCache>
                <c:formatCode>General</c:formatCode>
                <c:ptCount val="1"/>
                <c:pt idx="0">
                  <c:v>1</c:v>
                </c:pt>
              </c:numCache>
            </c:numRef>
          </c:val>
        </c:ser>
        <c:ser>
          <c:idx val="3"/>
          <c:order val="3"/>
          <c:tx>
            <c:strRef>
              <c:f>Cálculos!$F$150</c:f>
              <c:strCache>
                <c:ptCount val="1"/>
                <c:pt idx="0">
                  <c:v>C - CSP</c:v>
                </c:pt>
              </c:strCache>
            </c:strRef>
          </c:tx>
          <c:marker>
            <c:symbol val="none"/>
          </c:marker>
          <c:cat>
            <c:strRef>
              <c:f>Cálculos!$C$151:$C$162</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Cálculos!$F$151:$F$162</c:f>
              <c:numCache>
                <c:formatCode>_-* #,##0.00_-;\-* #,##0.00_-;_-*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4"/>
          <c:order val="4"/>
          <c:tx>
            <c:strRef>
              <c:f>Cálculos!$H$150</c:f>
              <c:strCache>
                <c:ptCount val="1"/>
              </c:strCache>
            </c:strRef>
          </c:tx>
          <c:marker>
            <c:symbol val="none"/>
          </c:marker>
          <c:cat>
            <c:strRef>
              <c:f>Cálculos!$C$151:$C$162</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Cálculos!$H$151:$H$162</c:f>
              <c:numCache>
                <c:formatCode>General</c:formatCode>
                <c:ptCount val="12"/>
              </c:numCache>
            </c:numRef>
          </c:val>
        </c:ser>
        <c:dLbls/>
        <c:marker val="1"/>
        <c:axId val="64051840"/>
        <c:axId val="64053632"/>
      </c:lineChart>
      <c:catAx>
        <c:axId val="64051840"/>
        <c:scaling>
          <c:orientation val="minMax"/>
        </c:scaling>
        <c:axPos val="b"/>
        <c:tickLblPos val="nextTo"/>
        <c:crossAx val="64053632"/>
        <c:crosses val="autoZero"/>
        <c:auto val="1"/>
        <c:lblAlgn val="ctr"/>
        <c:lblOffset val="100"/>
      </c:catAx>
      <c:valAx>
        <c:axId val="64053632"/>
        <c:scaling>
          <c:orientation val="minMax"/>
        </c:scaling>
        <c:axPos val="l"/>
        <c:majorGridlines/>
        <c:numFmt formatCode="_-* #,##0.00_-;\-* #,##0.00_-;_-* &quot;-&quot;??_-;_-@_-" sourceLinked="1"/>
        <c:tickLblPos val="nextTo"/>
        <c:crossAx val="64051840"/>
        <c:crosses val="autoZero"/>
        <c:crossBetween val="between"/>
      </c:valAx>
    </c:plotArea>
    <c:legend>
      <c:legendPos val="r"/>
      <c:legendEntry>
        <c:idx val="2"/>
        <c:delete val="1"/>
      </c:legendEntry>
      <c:legendEntry>
        <c:idx val="3"/>
        <c:delete val="1"/>
      </c:legendEntry>
      <c:legendEntry>
        <c:idx val="4"/>
        <c:delete val="1"/>
      </c:legendEntry>
    </c:legend>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MX"/>
  <c:chart>
    <c:plotArea>
      <c:layout/>
      <c:lineChart>
        <c:grouping val="standard"/>
        <c:ser>
          <c:idx val="0"/>
          <c:order val="0"/>
          <c:tx>
            <c:strRef>
              <c:f>Cálculos!$D$166</c:f>
              <c:strCache>
                <c:ptCount val="1"/>
                <c:pt idx="0">
                  <c:v>Q Calor necesario para calentar agua [kWh]</c:v>
                </c:pt>
              </c:strCache>
            </c:strRef>
          </c:tx>
          <c:spPr>
            <a:ln>
              <a:solidFill>
                <a:schemeClr val="tx1"/>
              </a:solidFill>
            </a:ln>
          </c:spPr>
          <c:marker>
            <c:symbol val="none"/>
          </c:marker>
          <c:cat>
            <c:strRef>
              <c:f>Cálculos!$C$167:$C$178</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Cálculos!$D$167:$D$178</c:f>
              <c:numCache>
                <c:formatCode>_-* #,##0.00_-;\-* #,##0.00_-;_-* "-"??_-;_-@_-</c:formatCode>
                <c:ptCount val="12"/>
                <c:pt idx="0">
                  <c:v>624.31983759999991</c:v>
                </c:pt>
                <c:pt idx="1">
                  <c:v>548.27402559999996</c:v>
                </c:pt>
                <c:pt idx="2">
                  <c:v>563.76225519999991</c:v>
                </c:pt>
                <c:pt idx="3">
                  <c:v>509.29764</c:v>
                </c:pt>
                <c:pt idx="4">
                  <c:v>497.43728400000003</c:v>
                </c:pt>
                <c:pt idx="5">
                  <c:v>489.76293600000002</c:v>
                </c:pt>
                <c:pt idx="6">
                  <c:v>526.27422799999999</c:v>
                </c:pt>
                <c:pt idx="7">
                  <c:v>529.15792240000007</c:v>
                </c:pt>
                <c:pt idx="8">
                  <c:v>520.460328</c:v>
                </c:pt>
                <c:pt idx="9">
                  <c:v>563.76225519999991</c:v>
                </c:pt>
                <c:pt idx="10">
                  <c:v>576.2737679999999</c:v>
                </c:pt>
                <c:pt idx="11">
                  <c:v>622.87799040000004</c:v>
                </c:pt>
              </c:numCache>
            </c:numRef>
          </c:val>
        </c:ser>
        <c:ser>
          <c:idx val="1"/>
          <c:order val="1"/>
          <c:tx>
            <c:strRef>
              <c:f>Cálculos!$E$166</c:f>
              <c:strCache>
                <c:ptCount val="1"/>
                <c:pt idx="0">
                  <c:v>Energía solar Útil T - CS [kWh]</c:v>
                </c:pt>
              </c:strCache>
            </c:strRef>
          </c:tx>
          <c:marker>
            <c:symbol val="none"/>
          </c:marker>
          <c:cat>
            <c:strRef>
              <c:f>Cálculos!$C$167:$C$178</c:f>
              <c:strCache>
                <c:ptCount val="12"/>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Cálculos!$E$167:$E$178</c:f>
              <c:numCache>
                <c:formatCode>_-* #,##0.00_-;\-* #,##0.00_-;_-* "-"??_-;_-@_-</c:formatCode>
                <c:ptCount val="12"/>
                <c:pt idx="0">
                  <c:v>225.99</c:v>
                </c:pt>
                <c:pt idx="1">
                  <c:v>244.44916363636364</c:v>
                </c:pt>
                <c:pt idx="2">
                  <c:v>317.84694545454545</c:v>
                </c:pt>
                <c:pt idx="3">
                  <c:v>355.75200000000001</c:v>
                </c:pt>
                <c:pt idx="4">
                  <c:v>414.17803636363641</c:v>
                </c:pt>
                <c:pt idx="5">
                  <c:v>374.22000000000008</c:v>
                </c:pt>
                <c:pt idx="6">
                  <c:v>356.47069090909093</c:v>
                </c:pt>
                <c:pt idx="7">
                  <c:v>339.39589090909095</c:v>
                </c:pt>
                <c:pt idx="8">
                  <c:v>307.24036363636361</c:v>
                </c:pt>
                <c:pt idx="9">
                  <c:v>274.74905454545456</c:v>
                </c:pt>
                <c:pt idx="10">
                  <c:v>241.76290909090909</c:v>
                </c:pt>
                <c:pt idx="11">
                  <c:v>200.88000000000002</c:v>
                </c:pt>
              </c:numCache>
            </c:numRef>
          </c:val>
        </c:ser>
        <c:ser>
          <c:idx val="2"/>
          <c:order val="2"/>
          <c:tx>
            <c:strRef>
              <c:f>Cálculos!$F$166</c:f>
              <c:strCache>
                <c:ptCount val="1"/>
                <c:pt idx="0">
                  <c:v>Energía solar Útil C - CS  [kWh]</c:v>
                </c:pt>
              </c:strCache>
            </c:strRef>
          </c:tx>
          <c:marker>
            <c:symbol val="none"/>
          </c:marker>
          <c:val>
            <c:numRef>
              <c:f>Cálculos!$F$167:$F$178</c:f>
              <c:numCache>
                <c:formatCode>_-* #,##0.00_-;\-* #,##0.00_-;_-*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marker val="1"/>
        <c:axId val="64077184"/>
        <c:axId val="64124032"/>
      </c:lineChart>
      <c:catAx>
        <c:axId val="64077184"/>
        <c:scaling>
          <c:orientation val="minMax"/>
        </c:scaling>
        <c:axPos val="b"/>
        <c:tickLblPos val="nextTo"/>
        <c:crossAx val="64124032"/>
        <c:crosses val="autoZero"/>
        <c:auto val="1"/>
        <c:lblAlgn val="ctr"/>
        <c:lblOffset val="100"/>
      </c:catAx>
      <c:valAx>
        <c:axId val="64124032"/>
        <c:scaling>
          <c:orientation val="minMax"/>
        </c:scaling>
        <c:axPos val="l"/>
        <c:majorGridlines/>
        <c:numFmt formatCode="_-* #,##0.00_-;\-* #,##0.00_-;_-* &quot;-&quot;??_-;_-@_-" sourceLinked="1"/>
        <c:tickLblPos val="nextTo"/>
        <c:crossAx val="64077184"/>
        <c:crosses val="autoZero"/>
        <c:crossBetween val="between"/>
      </c:valAx>
    </c:plotArea>
    <c:legend>
      <c:legendPos val="r"/>
    </c:legend>
    <c:plotVisOnly val="1"/>
    <c:dispBlanksAs val="gap"/>
  </c:chart>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Entradas!A1"/><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Salidas!A1"/></Relationships>
</file>

<file path=xl/drawings/_rels/drawing3.xml.rels><?xml version="1.0" encoding="UTF-8" standalone="yes"?>
<Relationships xmlns="http://schemas.openxmlformats.org/package/2006/relationships"><Relationship Id="rId3" Type="http://schemas.openxmlformats.org/officeDocument/2006/relationships/hyperlink" Target="#Entradas!A1"/><Relationship Id="rId2" Type="http://schemas.openxmlformats.org/officeDocument/2006/relationships/image" Target="../media/image3.jpeg"/><Relationship Id="rId1" Type="http://schemas.openxmlformats.org/officeDocument/2006/relationships/chart" Target="../charts/chart1.xml"/><Relationship Id="rId4" Type="http://schemas.openxmlformats.org/officeDocument/2006/relationships/hyperlink" Target="#Entradas!A1"/></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466725</xdr:colOff>
      <xdr:row>0</xdr:row>
      <xdr:rowOff>0</xdr:rowOff>
    </xdr:from>
    <xdr:to>
      <xdr:col>4</xdr:col>
      <xdr:colOff>43725</xdr:colOff>
      <xdr:row>4</xdr:row>
      <xdr:rowOff>138000</xdr:rowOff>
    </xdr:to>
    <xdr:pic>
      <xdr:nvPicPr>
        <xdr:cNvPr id="3073" name="Picture 1" descr="http://www.conae.gob.mx/imagesbi/ejemplos/imagenes/logoSENER_hoz.png"/>
        <xdr:cNvPicPr>
          <a:picLocks noChangeAspect="1" noChangeArrowheads="1"/>
        </xdr:cNvPicPr>
      </xdr:nvPicPr>
      <xdr:blipFill>
        <a:blip xmlns:r="http://schemas.openxmlformats.org/officeDocument/2006/relationships" r:embed="rId1" cstate="print"/>
        <a:srcRect/>
        <a:stretch>
          <a:fillRect/>
        </a:stretch>
      </xdr:blipFill>
      <xdr:spPr bwMode="auto">
        <a:xfrm>
          <a:off x="466725" y="0"/>
          <a:ext cx="2625000" cy="900000"/>
        </a:xfrm>
        <a:prstGeom prst="rect">
          <a:avLst/>
        </a:prstGeom>
        <a:noFill/>
      </xdr:spPr>
    </xdr:pic>
    <xdr:clientData/>
  </xdr:twoCellAnchor>
  <xdr:twoCellAnchor editAs="oneCell">
    <xdr:from>
      <xdr:col>4</xdr:col>
      <xdr:colOff>466726</xdr:colOff>
      <xdr:row>0</xdr:row>
      <xdr:rowOff>38100</xdr:rowOff>
    </xdr:from>
    <xdr:to>
      <xdr:col>7</xdr:col>
      <xdr:colOff>66166</xdr:colOff>
      <xdr:row>4</xdr:row>
      <xdr:rowOff>176100</xdr:rowOff>
    </xdr:to>
    <xdr:pic>
      <xdr:nvPicPr>
        <xdr:cNvPr id="3074" name="Picture 2" descr="http://portaltransparencia.gob.mx/pdf/imagenes/18191"/>
        <xdr:cNvPicPr>
          <a:picLocks noChangeAspect="1" noChangeArrowheads="1"/>
        </xdr:cNvPicPr>
      </xdr:nvPicPr>
      <xdr:blipFill>
        <a:blip xmlns:r="http://schemas.openxmlformats.org/officeDocument/2006/relationships" r:embed="rId2" cstate="print"/>
        <a:srcRect/>
        <a:stretch>
          <a:fillRect/>
        </a:stretch>
      </xdr:blipFill>
      <xdr:spPr bwMode="auto">
        <a:xfrm>
          <a:off x="3514726" y="38100"/>
          <a:ext cx="1885440" cy="900000"/>
        </a:xfrm>
        <a:prstGeom prst="rect">
          <a:avLst/>
        </a:prstGeom>
        <a:noFill/>
      </xdr:spPr>
    </xdr:pic>
    <xdr:clientData/>
  </xdr:twoCellAnchor>
  <xdr:twoCellAnchor>
    <xdr:from>
      <xdr:col>3</xdr:col>
      <xdr:colOff>752475</xdr:colOff>
      <xdr:row>13</xdr:row>
      <xdr:rowOff>180975</xdr:rowOff>
    </xdr:from>
    <xdr:to>
      <xdr:col>5</xdr:col>
      <xdr:colOff>457200</xdr:colOff>
      <xdr:row>15</xdr:row>
      <xdr:rowOff>57150</xdr:rowOff>
    </xdr:to>
    <xdr:sp macro="" textlink="">
      <xdr:nvSpPr>
        <xdr:cNvPr id="4" name="3 Rectángulo">
          <a:hlinkClick xmlns:r="http://schemas.openxmlformats.org/officeDocument/2006/relationships" r:id="rId3"/>
        </xdr:cNvPr>
        <xdr:cNvSpPr/>
      </xdr:nvSpPr>
      <xdr:spPr>
        <a:xfrm>
          <a:off x="3038475" y="2657475"/>
          <a:ext cx="1228725" cy="257175"/>
        </a:xfrm>
        <a:prstGeom prst="rect">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r>
            <a:rPr lang="es-MX" sz="1100"/>
            <a:t>Entrar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16</xdr:row>
      <xdr:rowOff>28575</xdr:rowOff>
    </xdr:from>
    <xdr:to>
      <xdr:col>3</xdr:col>
      <xdr:colOff>638175</xdr:colOff>
      <xdr:row>17</xdr:row>
      <xdr:rowOff>142875</xdr:rowOff>
    </xdr:to>
    <xdr:sp macro="" textlink="">
      <xdr:nvSpPr>
        <xdr:cNvPr id="2" name="1 Rectángulo">
          <a:hlinkClick xmlns:r="http://schemas.openxmlformats.org/officeDocument/2006/relationships" r:id="rId1"/>
        </xdr:cNvPr>
        <xdr:cNvSpPr/>
      </xdr:nvSpPr>
      <xdr:spPr>
        <a:xfrm>
          <a:off x="1905000" y="3505200"/>
          <a:ext cx="1762125" cy="304800"/>
        </a:xfrm>
        <a:prstGeom prst="rect">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r>
            <a:rPr lang="es-MX" sz="1100"/>
            <a:t>Calcular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371475</xdr:colOff>
      <xdr:row>15</xdr:row>
      <xdr:rowOff>66675</xdr:rowOff>
    </xdr:from>
    <xdr:to>
      <xdr:col>1</xdr:col>
      <xdr:colOff>5048250</xdr:colOff>
      <xdr:row>29</xdr:row>
      <xdr:rowOff>38100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628650</xdr:colOff>
      <xdr:row>31</xdr:row>
      <xdr:rowOff>144802</xdr:rowOff>
    </xdr:from>
    <xdr:to>
      <xdr:col>1</xdr:col>
      <xdr:colOff>4905375</xdr:colOff>
      <xdr:row>50</xdr:row>
      <xdr:rowOff>50799</xdr:rowOff>
    </xdr:to>
    <xdr:pic>
      <xdr:nvPicPr>
        <xdr:cNvPr id="4" name="3 Imagen" descr="Diagrama Domestico 1.jpg"/>
        <xdr:cNvPicPr>
          <a:picLocks noChangeAspect="1"/>
        </xdr:cNvPicPr>
      </xdr:nvPicPr>
      <xdr:blipFill>
        <a:blip xmlns:r="http://schemas.openxmlformats.org/officeDocument/2006/relationships" r:embed="rId2" cstate="print"/>
        <a:stretch>
          <a:fillRect/>
        </a:stretch>
      </xdr:blipFill>
      <xdr:spPr>
        <a:xfrm>
          <a:off x="1390650" y="6812302"/>
          <a:ext cx="4276725" cy="3525497"/>
        </a:xfrm>
        <a:prstGeom prst="rect">
          <a:avLst/>
        </a:prstGeom>
      </xdr:spPr>
    </xdr:pic>
    <xdr:clientData/>
  </xdr:twoCellAnchor>
  <xdr:twoCellAnchor>
    <xdr:from>
      <xdr:col>1</xdr:col>
      <xdr:colOff>5362575</xdr:colOff>
      <xdr:row>0</xdr:row>
      <xdr:rowOff>123825</xdr:rowOff>
    </xdr:from>
    <xdr:to>
      <xdr:col>2</xdr:col>
      <xdr:colOff>257175</xdr:colOff>
      <xdr:row>2</xdr:row>
      <xdr:rowOff>85725</xdr:rowOff>
    </xdr:to>
    <xdr:sp macro="" textlink="">
      <xdr:nvSpPr>
        <xdr:cNvPr id="5" name="4 Flecha izquierda">
          <a:hlinkClick xmlns:r="http://schemas.openxmlformats.org/officeDocument/2006/relationships" r:id="rId3"/>
        </xdr:cNvPr>
        <xdr:cNvSpPr/>
      </xdr:nvSpPr>
      <xdr:spPr>
        <a:xfrm>
          <a:off x="6124575" y="123825"/>
          <a:ext cx="781050" cy="390525"/>
        </a:xfrm>
        <a:prstGeom prst="lef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MX" sz="1100"/>
        </a:p>
      </xdr:txBody>
    </xdr:sp>
    <xdr:clientData/>
  </xdr:twoCellAnchor>
  <xdr:twoCellAnchor>
    <xdr:from>
      <xdr:col>1</xdr:col>
      <xdr:colOff>5705475</xdr:colOff>
      <xdr:row>49</xdr:row>
      <xdr:rowOff>76200</xdr:rowOff>
    </xdr:from>
    <xdr:to>
      <xdr:col>2</xdr:col>
      <xdr:colOff>600075</xdr:colOff>
      <xdr:row>51</xdr:row>
      <xdr:rowOff>85725</xdr:rowOff>
    </xdr:to>
    <xdr:sp macro="" textlink="">
      <xdr:nvSpPr>
        <xdr:cNvPr id="6" name="5 Flecha izquierda">
          <a:hlinkClick xmlns:r="http://schemas.openxmlformats.org/officeDocument/2006/relationships" r:id="rId4"/>
        </xdr:cNvPr>
        <xdr:cNvSpPr/>
      </xdr:nvSpPr>
      <xdr:spPr>
        <a:xfrm>
          <a:off x="6467475" y="10029825"/>
          <a:ext cx="781050" cy="390525"/>
        </a:xfrm>
        <a:prstGeom prst="lef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523875</xdr:colOff>
      <xdr:row>148</xdr:row>
      <xdr:rowOff>180975</xdr:rowOff>
    </xdr:from>
    <xdr:to>
      <xdr:col>12</xdr:col>
      <xdr:colOff>523875</xdr:colOff>
      <xdr:row>161</xdr:row>
      <xdr:rowOff>47625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533400</xdr:colOff>
      <xdr:row>165</xdr:row>
      <xdr:rowOff>142875</xdr:rowOff>
    </xdr:from>
    <xdr:to>
      <xdr:col>12</xdr:col>
      <xdr:colOff>609600</xdr:colOff>
      <xdr:row>177</xdr:row>
      <xdr:rowOff>114300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6"/>
  <sheetViews>
    <sheetView showGridLines="0" tabSelected="1" workbookViewId="0">
      <selection activeCell="D11" sqref="D11:E11"/>
    </sheetView>
  </sheetViews>
  <sheetFormatPr baseColWidth="10" defaultColWidth="0" defaultRowHeight="15" zeroHeight="1"/>
  <cols>
    <col min="1" max="8" width="11.42578125" style="102" customWidth="1"/>
    <col min="9" max="10" width="0" style="102" hidden="1" customWidth="1"/>
    <col min="11" max="16384" width="11.42578125" style="102" hidden="1"/>
  </cols>
  <sheetData>
    <row r="1" spans="2:7"/>
    <row r="2" spans="2:7"/>
    <row r="3" spans="2:7"/>
    <row r="4" spans="2:7"/>
    <row r="5" spans="2:7"/>
    <row r="6" spans="2:7"/>
    <row r="7" spans="2:7">
      <c r="B7" s="120" t="s">
        <v>107</v>
      </c>
      <c r="C7" s="120"/>
      <c r="D7" s="120"/>
      <c r="E7" s="120"/>
      <c r="F7" s="120"/>
      <c r="G7" s="120"/>
    </row>
    <row r="8" spans="2:7"/>
    <row r="9" spans="2:7"/>
    <row r="10" spans="2:7"/>
    <row r="11" spans="2:7">
      <c r="C11" s="103" t="s">
        <v>1</v>
      </c>
      <c r="D11" s="117"/>
      <c r="E11" s="117"/>
    </row>
    <row r="12" spans="2:7"/>
    <row r="13" spans="2:7">
      <c r="C13" s="103" t="s">
        <v>2</v>
      </c>
      <c r="D13" s="118"/>
      <c r="E13" s="118"/>
    </row>
    <row r="14" spans="2:7"/>
    <row r="15" spans="2:7" ht="23.25">
      <c r="C15" s="104" t="s">
        <v>108</v>
      </c>
    </row>
    <row r="16" spans="2:7"/>
    <row r="17" spans="2:7">
      <c r="D17" s="102" t="s">
        <v>105</v>
      </c>
    </row>
    <row r="18" spans="2:7"/>
    <row r="19" spans="2:7"/>
    <row r="20" spans="2:7">
      <c r="B20" s="119" t="s">
        <v>106</v>
      </c>
      <c r="C20" s="119"/>
      <c r="D20" s="119"/>
      <c r="E20" s="119"/>
      <c r="F20" s="119"/>
      <c r="G20" s="119"/>
    </row>
    <row r="21" spans="2:7">
      <c r="B21" s="119"/>
      <c r="C21" s="119"/>
      <c r="D21" s="119"/>
      <c r="E21" s="119"/>
      <c r="F21" s="119"/>
      <c r="G21" s="119"/>
    </row>
    <row r="22" spans="2:7">
      <c r="B22" s="119"/>
      <c r="C22" s="119"/>
      <c r="D22" s="119"/>
      <c r="E22" s="119"/>
      <c r="F22" s="119"/>
      <c r="G22" s="119"/>
    </row>
    <row r="23" spans="2:7">
      <c r="B23" s="119"/>
      <c r="C23" s="119"/>
      <c r="D23" s="119"/>
      <c r="E23" s="119"/>
      <c r="F23" s="119"/>
      <c r="G23" s="119"/>
    </row>
    <row r="24" spans="2:7">
      <c r="B24" s="119"/>
      <c r="C24" s="119"/>
      <c r="D24" s="119"/>
      <c r="E24" s="119"/>
      <c r="F24" s="119"/>
      <c r="G24" s="119"/>
    </row>
    <row r="25" spans="2:7">
      <c r="B25" s="119"/>
      <c r="C25" s="119"/>
      <c r="D25" s="119"/>
      <c r="E25" s="119"/>
      <c r="F25" s="119"/>
      <c r="G25" s="119"/>
    </row>
    <row r="26" spans="2:7"/>
  </sheetData>
  <sheetProtection sheet="1" objects="1" scenarios="1"/>
  <mergeCells count="4">
    <mergeCell ref="D11:E11"/>
    <mergeCell ref="D13:E13"/>
    <mergeCell ref="B20:G25"/>
    <mergeCell ref="B7:G7"/>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dimension ref="A1:E20"/>
  <sheetViews>
    <sheetView showGridLines="0" workbookViewId="0">
      <selection activeCell="C6" sqref="C6"/>
    </sheetView>
  </sheetViews>
  <sheetFormatPr baseColWidth="10" defaultColWidth="0" defaultRowHeight="15" zeroHeight="1"/>
  <cols>
    <col min="1" max="1" width="3.28515625" style="102" customWidth="1"/>
    <col min="2" max="2" width="25.28515625" style="102" bestFit="1" customWidth="1"/>
    <col min="3" max="3" width="16.85546875" style="102" bestFit="1" customWidth="1"/>
    <col min="4" max="4" width="14.85546875" style="102" customWidth="1"/>
    <col min="5" max="5" width="3.85546875" style="102" customWidth="1"/>
    <col min="6" max="16384" width="14.85546875" hidden="1"/>
  </cols>
  <sheetData>
    <row r="1" spans="1:5" s="96" customFormat="1">
      <c r="A1" s="102"/>
      <c r="B1" s="102"/>
      <c r="C1" s="102"/>
      <c r="D1" s="102"/>
      <c r="E1" s="102"/>
    </row>
    <row r="2" spans="1:5" s="96" customFormat="1">
      <c r="A2" s="102"/>
      <c r="B2" s="102"/>
      <c r="C2" s="102"/>
      <c r="D2" s="102"/>
      <c r="E2" s="102"/>
    </row>
    <row r="3" spans="1:5" s="96" customFormat="1" ht="18.75">
      <c r="A3" s="102"/>
      <c r="B3" s="105" t="s">
        <v>31</v>
      </c>
      <c r="C3" s="106"/>
      <c r="D3" s="106"/>
      <c r="E3" s="103"/>
    </row>
    <row r="4" spans="1:5" s="96" customFormat="1">
      <c r="A4" s="102"/>
      <c r="B4" s="103"/>
      <c r="C4" s="103"/>
      <c r="D4" s="103"/>
      <c r="E4" s="103"/>
    </row>
    <row r="5" spans="1:5" s="96" customFormat="1">
      <c r="A5" s="102"/>
      <c r="B5" s="103"/>
      <c r="C5" s="103"/>
      <c r="D5" s="103"/>
      <c r="E5" s="103"/>
    </row>
    <row r="6" spans="1:5" s="96" customFormat="1">
      <c r="A6" s="102"/>
      <c r="B6" s="103" t="s">
        <v>0</v>
      </c>
      <c r="C6" s="97" t="s">
        <v>8</v>
      </c>
      <c r="D6" s="103"/>
      <c r="E6" s="103"/>
    </row>
    <row r="7" spans="1:5" s="96" customFormat="1">
      <c r="A7" s="102"/>
      <c r="B7" s="103"/>
      <c r="C7" s="103"/>
      <c r="D7" s="103"/>
      <c r="E7" s="103"/>
    </row>
    <row r="8" spans="1:5" s="96" customFormat="1" ht="30">
      <c r="A8" s="102"/>
      <c r="B8" s="107" t="s">
        <v>7</v>
      </c>
      <c r="C8" s="98">
        <v>8</v>
      </c>
      <c r="D8" s="102"/>
      <c r="E8" s="103"/>
    </row>
    <row r="9" spans="1:5" s="96" customFormat="1">
      <c r="A9" s="102"/>
      <c r="B9" s="103"/>
      <c r="C9" s="103"/>
      <c r="D9" s="103"/>
      <c r="E9" s="103"/>
    </row>
    <row r="10" spans="1:5" s="96" customFormat="1" ht="30">
      <c r="A10" s="102"/>
      <c r="B10" s="108" t="s">
        <v>40</v>
      </c>
      <c r="C10" s="99">
        <v>0</v>
      </c>
      <c r="D10" s="102" t="s">
        <v>41</v>
      </c>
      <c r="E10" s="103"/>
    </row>
    <row r="11" spans="1:5" s="96" customFormat="1">
      <c r="A11" s="102"/>
      <c r="B11" s="103"/>
      <c r="C11" s="109"/>
      <c r="D11" s="103"/>
      <c r="E11" s="103"/>
    </row>
    <row r="12" spans="1:5" s="96" customFormat="1">
      <c r="A12" s="102"/>
      <c r="B12" s="102" t="s">
        <v>34</v>
      </c>
      <c r="C12" s="100" t="s">
        <v>42</v>
      </c>
      <c r="D12" s="103"/>
      <c r="E12" s="103"/>
    </row>
    <row r="13" spans="1:5" s="96" customFormat="1">
      <c r="A13" s="102"/>
      <c r="B13" s="103"/>
      <c r="C13" s="109"/>
      <c r="D13" s="103"/>
      <c r="E13" s="103"/>
    </row>
    <row r="14" spans="1:5" s="96" customFormat="1">
      <c r="A14" s="102"/>
      <c r="B14" s="102" t="s">
        <v>35</v>
      </c>
      <c r="C14" s="101" t="s">
        <v>39</v>
      </c>
      <c r="D14" s="103"/>
      <c r="E14" s="103"/>
    </row>
    <row r="15" spans="1:5" s="96" customFormat="1">
      <c r="A15" s="102"/>
      <c r="B15" s="102"/>
      <c r="C15" s="102"/>
      <c r="D15" s="102"/>
      <c r="E15" s="102"/>
    </row>
    <row r="16" spans="1:5" s="96" customFormat="1">
      <c r="A16" s="102"/>
      <c r="B16" s="102"/>
      <c r="C16" s="102"/>
      <c r="D16" s="102"/>
      <c r="E16" s="102"/>
    </row>
    <row r="17" spans="1:5" s="96" customFormat="1">
      <c r="A17" s="102"/>
      <c r="B17" s="102"/>
      <c r="C17" s="102"/>
      <c r="D17" s="102"/>
      <c r="E17" s="102"/>
    </row>
    <row r="18" spans="1:5" s="96" customFormat="1">
      <c r="A18" s="102"/>
      <c r="B18" s="102"/>
      <c r="C18" s="102"/>
      <c r="D18" s="102"/>
      <c r="E18" s="102"/>
    </row>
    <row r="19" spans="1:5" s="96" customFormat="1">
      <c r="A19" s="102"/>
      <c r="B19" s="102"/>
      <c r="C19" s="102"/>
      <c r="D19" s="102"/>
      <c r="E19" s="102"/>
    </row>
    <row r="20" spans="1:5" s="96" customFormat="1">
      <c r="A20" s="102"/>
      <c r="B20" s="102"/>
      <c r="C20" s="102"/>
      <c r="D20" s="102"/>
      <c r="E20" s="102"/>
    </row>
  </sheetData>
  <sheetProtection sheet="1" objects="1" scenarios="1"/>
  <dataValidations count="1">
    <dataValidation type="decimal" allowBlank="1" showInputMessage="1" showErrorMessage="1" sqref="C10">
      <formula1>0</formula1>
      <formula2>5000</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Cálculos!C66:C68</xm:f>
          </x14:formula1>
          <xm:sqref>C12</xm:sqref>
        </x14:dataValidation>
        <x14:dataValidation type="list" allowBlank="1" showInputMessage="1" showErrorMessage="1">
          <x14:formula1>
            <xm:f>Cálculos!C71:C72</xm:f>
          </x14:formula1>
          <xm:sqref>C14</xm:sqref>
        </x14:dataValidation>
        <x14:dataValidation type="list" allowBlank="1" showInputMessage="1" showErrorMessage="1">
          <x14:formula1>
            <xm:f>Cálculos!$D$26:$D$30</xm:f>
          </x14:formula1>
          <xm:sqref>C6</xm:sqref>
        </x14:dataValidation>
        <x14:dataValidation type="list" allowBlank="1" showInputMessage="1" showErrorMessage="1">
          <x14:formula1>
            <xm:f>Cálculos!C43:C55</xm:f>
          </x14:formula1>
          <xm:sqref>C8</xm:sqref>
        </x14:dataValidation>
      </x14:dataValidations>
    </ext>
  </extLst>
</worksheet>
</file>

<file path=xl/worksheets/sheet3.xml><?xml version="1.0" encoding="utf-8"?>
<worksheet xmlns="http://schemas.openxmlformats.org/spreadsheetml/2006/main" xmlns:r="http://schemas.openxmlformats.org/officeDocument/2006/relationships">
  <dimension ref="A1:C52"/>
  <sheetViews>
    <sheetView showGridLines="0" topLeftCell="A28" workbookViewId="0"/>
  </sheetViews>
  <sheetFormatPr baseColWidth="10" defaultColWidth="0" defaultRowHeight="15" zeroHeight="1"/>
  <cols>
    <col min="1" max="1" width="11.42578125" style="102" customWidth="1"/>
    <col min="2" max="2" width="88.28515625" style="102" customWidth="1"/>
    <col min="3" max="3" width="11.42578125" style="102" customWidth="1"/>
    <col min="4" max="16384" width="11.42578125" style="102" hidden="1"/>
  </cols>
  <sheetData>
    <row r="1" spans="2:2"/>
    <row r="2" spans="2:2" ht="18.75">
      <c r="B2" s="110" t="s">
        <v>139</v>
      </c>
    </row>
    <row r="3" spans="2:2"/>
    <row r="4" spans="2:2"/>
    <row r="5" spans="2:2" ht="30">
      <c r="B5" s="111" t="str">
        <f>CONCATENATE(Cálculos!C214,Cálculos!D214,Cálculos!C215,Cálculos!D215,Cálculos!C216,Cálculos!D216,Cálculos!C217)</f>
        <v>Se propone instalar un sistema de Calentamiento Solar de Agua de tipo  termosifónico (circulación natural) con un volumen de 300 litros y un área de absorción de 3 m2</v>
      </c>
    </row>
    <row r="6" spans="2:2"/>
    <row r="7" spans="2:2" ht="30">
      <c r="B7" s="111" t="str">
        <f>CONCATENATE(Cálculos!$C$218,Cálculos!$D$218,Cálculos!$C$219,Cálculos!$D$219,Cálculos!E219)</f>
        <v>Este sistema va a reemplazar el  Gas LP que actualmente se consume con una fracción solar de  55%</v>
      </c>
    </row>
    <row r="8" spans="2:2"/>
    <row r="9" spans="2:2" ht="30">
      <c r="B9" s="111" t="str">
        <f>CONCATENATE(Cálculos!C220,Cálculos!D220,Cálculos!E220,Cálculos!C221,Cálculos!D221,Cálculos!C222,Cálculos!D222,Cálculos!E222)</f>
        <v>El ahorro estimado equivale a 531Kg, por lo que se dejaría de gastar 6504 pesos anuales. Y el sistema se pagaría aproximadamente en 2  años</v>
      </c>
    </row>
    <row r="10" spans="2:2"/>
    <row r="11" spans="2:2">
      <c r="B11" s="111" t="str">
        <f>CONCATENATE(Cálculos!C223,Cálculos!D223,Cálculos!C224)</f>
        <v>Con la instalación de este sistema se dejan de emitir  1659 Kg anuales de CO2 equivalente</v>
      </c>
    </row>
    <row r="12" spans="2:2"/>
    <row r="13" spans="2:2"/>
    <row r="14" spans="2:2">
      <c r="B14" s="102" t="s">
        <v>141</v>
      </c>
    </row>
    <row r="15" spans="2:2"/>
    <row r="16" spans="2:2"/>
    <row r="17" spans="2:2"/>
    <row r="18" spans="2:2"/>
    <row r="19" spans="2:2"/>
    <row r="20" spans="2:2"/>
    <row r="21" spans="2:2"/>
    <row r="22" spans="2:2"/>
    <row r="23" spans="2:2"/>
    <row r="24" spans="2:2"/>
    <row r="25" spans="2:2"/>
    <row r="26" spans="2:2"/>
    <row r="27" spans="2:2"/>
    <row r="28" spans="2:2"/>
    <row r="29" spans="2:2"/>
    <row r="30" spans="2:2"/>
    <row r="31" spans="2:2">
      <c r="B31" s="102" t="s">
        <v>140</v>
      </c>
    </row>
    <row r="32" spans="2:2"/>
    <row r="33"/>
    <row r="34"/>
    <row r="35"/>
    <row r="36"/>
    <row r="37"/>
    <row r="38"/>
    <row r="39"/>
    <row r="40"/>
    <row r="41"/>
    <row r="42"/>
    <row r="43"/>
    <row r="44"/>
    <row r="45"/>
    <row r="46"/>
    <row r="47"/>
    <row r="48"/>
    <row r="49"/>
    <row r="50"/>
    <row r="51"/>
    <row r="52"/>
  </sheetData>
  <sheetProtection sheet="1" objects="1" scenarios="1"/>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2:Q224"/>
  <sheetViews>
    <sheetView showGridLines="0" topLeftCell="A211" workbookViewId="0">
      <selection activeCell="C217" sqref="C217"/>
    </sheetView>
  </sheetViews>
  <sheetFormatPr baseColWidth="10" defaultRowHeight="15"/>
  <cols>
    <col min="1" max="1" width="3.42578125" style="3" customWidth="1"/>
    <col min="2" max="2" width="3.42578125" style="25" customWidth="1"/>
    <col min="3" max="3" width="27.140625" style="3" customWidth="1"/>
    <col min="4" max="4" width="18.140625" style="3" customWidth="1"/>
    <col min="5" max="9" width="11.42578125" style="3"/>
    <col min="10" max="10" width="11.85546875" style="3" bestFit="1" customWidth="1"/>
    <col min="11" max="13" width="11.42578125" style="3"/>
    <col min="14" max="14" width="12.5703125" style="3" bestFit="1" customWidth="1"/>
    <col min="15" max="15" width="15.140625" style="3" bestFit="1" customWidth="1"/>
    <col min="16" max="16" width="18.28515625" style="3" bestFit="1" customWidth="1"/>
    <col min="17" max="16384" width="11.42578125" style="3"/>
  </cols>
  <sheetData>
    <row r="2" spans="1:7" ht="18.75">
      <c r="A2" s="43"/>
      <c r="C2" s="41" t="s">
        <v>31</v>
      </c>
      <c r="D2" s="5"/>
      <c r="E2" s="5"/>
    </row>
    <row r="3" spans="1:7">
      <c r="A3" s="43"/>
    </row>
    <row r="4" spans="1:7">
      <c r="A4" s="43"/>
    </row>
    <row r="5" spans="1:7">
      <c r="A5" s="43"/>
      <c r="C5" s="3" t="s">
        <v>1</v>
      </c>
      <c r="D5" s="33">
        <f>Inicio!D11</f>
        <v>0</v>
      </c>
    </row>
    <row r="6" spans="1:7">
      <c r="A6" s="43"/>
      <c r="C6" s="3" t="s">
        <v>2</v>
      </c>
      <c r="D6" s="33">
        <f>Inicio!D13</f>
        <v>0</v>
      </c>
    </row>
    <row r="7" spans="1:7">
      <c r="A7" s="43"/>
    </row>
    <row r="8" spans="1:7">
      <c r="A8" s="43"/>
    </row>
    <row r="9" spans="1:7">
      <c r="A9" s="43"/>
      <c r="C9" s="3" t="s">
        <v>0</v>
      </c>
      <c r="D9" s="79" t="str">
        <f>Entradas!C6</f>
        <v>Aguascalientes</v>
      </c>
    </row>
    <row r="10" spans="1:7">
      <c r="A10" s="43"/>
      <c r="G10"/>
    </row>
    <row r="11" spans="1:7" ht="30">
      <c r="A11" s="43"/>
      <c r="C11" s="15" t="s">
        <v>7</v>
      </c>
      <c r="D11" s="80">
        <f>Entradas!C8</f>
        <v>8</v>
      </c>
      <c r="E11"/>
    </row>
    <row r="12" spans="1:7">
      <c r="A12" s="43"/>
    </row>
    <row r="13" spans="1:7" ht="30">
      <c r="A13" s="43"/>
      <c r="C13" s="22" t="s">
        <v>40</v>
      </c>
      <c r="D13" s="23">
        <f>Entradas!C10</f>
        <v>0</v>
      </c>
      <c r="E13" t="s">
        <v>41</v>
      </c>
    </row>
    <row r="14" spans="1:7">
      <c r="A14" s="43"/>
      <c r="D14" s="19"/>
    </row>
    <row r="15" spans="1:7">
      <c r="A15" s="43"/>
      <c r="C15" t="s">
        <v>34</v>
      </c>
      <c r="D15" s="24" t="str">
        <f>Entradas!C12</f>
        <v>Depósito</v>
      </c>
    </row>
    <row r="16" spans="1:7">
      <c r="A16" s="43"/>
      <c r="D16" s="19"/>
    </row>
    <row r="17" spans="1:16">
      <c r="A17" s="43"/>
      <c r="C17" t="s">
        <v>35</v>
      </c>
      <c r="D17" s="4" t="str">
        <f>Entradas!C14</f>
        <v>Gas LP</v>
      </c>
    </row>
    <row r="18" spans="1:16">
      <c r="A18" s="43"/>
    </row>
    <row r="19" spans="1:16">
      <c r="A19" s="43"/>
    </row>
    <row r="20" spans="1:16">
      <c r="A20" s="43"/>
    </row>
    <row r="21" spans="1:16" ht="18.75">
      <c r="A21" s="42"/>
      <c r="C21" s="41" t="s">
        <v>64</v>
      </c>
      <c r="D21" s="5"/>
      <c r="E21" s="5"/>
      <c r="F21" s="5"/>
      <c r="G21" s="5"/>
      <c r="H21" s="5"/>
      <c r="I21" s="5"/>
      <c r="J21" s="5"/>
      <c r="K21" s="5"/>
      <c r="L21" s="5"/>
      <c r="M21" s="5"/>
      <c r="N21" s="5"/>
      <c r="O21" s="5"/>
      <c r="P21" s="5"/>
    </row>
    <row r="22" spans="1:16">
      <c r="A22" s="42"/>
    </row>
    <row r="23" spans="1:16" ht="15.75">
      <c r="A23" s="42"/>
      <c r="C23" s="2" t="s">
        <v>29</v>
      </c>
      <c r="D23" s="5"/>
      <c r="E23" s="5"/>
      <c r="F23" s="5"/>
      <c r="G23" s="5"/>
      <c r="H23" s="5"/>
      <c r="I23" s="5"/>
      <c r="J23" s="5"/>
      <c r="K23" s="5"/>
      <c r="L23" s="5"/>
      <c r="M23" s="5"/>
      <c r="N23" s="5"/>
      <c r="O23" s="5"/>
      <c r="P23" s="5"/>
    </row>
    <row r="24" spans="1:16">
      <c r="A24" s="42"/>
    </row>
    <row r="25" spans="1:16">
      <c r="A25" s="42"/>
      <c r="C25" s="6" t="s">
        <v>27</v>
      </c>
      <c r="D25" s="6" t="s">
        <v>28</v>
      </c>
      <c r="E25" s="12" t="s">
        <v>15</v>
      </c>
      <c r="F25" s="12" t="s">
        <v>16</v>
      </c>
      <c r="G25" s="12" t="s">
        <v>17</v>
      </c>
      <c r="H25" s="12" t="s">
        <v>18</v>
      </c>
      <c r="I25" s="12" t="s">
        <v>19</v>
      </c>
      <c r="J25" s="12" t="s">
        <v>20</v>
      </c>
      <c r="K25" s="12" t="s">
        <v>21</v>
      </c>
      <c r="L25" s="12" t="s">
        <v>22</v>
      </c>
      <c r="M25" s="12" t="s">
        <v>23</v>
      </c>
      <c r="N25" s="12" t="s">
        <v>24</v>
      </c>
      <c r="O25" s="12" t="s">
        <v>25</v>
      </c>
      <c r="P25" s="12" t="s">
        <v>26</v>
      </c>
    </row>
    <row r="26" spans="1:16">
      <c r="A26" s="42"/>
      <c r="C26" s="7" t="s">
        <v>8</v>
      </c>
      <c r="D26" s="7" t="s">
        <v>8</v>
      </c>
      <c r="E26" s="9">
        <v>4.5</v>
      </c>
      <c r="F26" s="9">
        <v>5.2</v>
      </c>
      <c r="G26" s="9">
        <v>5.9</v>
      </c>
      <c r="H26" s="9">
        <v>6.6</v>
      </c>
      <c r="I26" s="9">
        <v>7.2</v>
      </c>
      <c r="J26" s="9">
        <v>6.3</v>
      </c>
      <c r="K26" s="9">
        <v>6.1</v>
      </c>
      <c r="L26" s="9">
        <v>5.9</v>
      </c>
      <c r="M26" s="9">
        <v>5.7</v>
      </c>
      <c r="N26" s="9">
        <v>5.0999999999999996</v>
      </c>
      <c r="O26" s="9">
        <v>4.8</v>
      </c>
      <c r="P26" s="9">
        <v>4</v>
      </c>
    </row>
    <row r="27" spans="1:16">
      <c r="A27" s="42"/>
      <c r="C27" s="10" t="s">
        <v>9</v>
      </c>
      <c r="D27" s="10" t="s">
        <v>10</v>
      </c>
      <c r="E27" s="13">
        <v>4.8600000000000003</v>
      </c>
      <c r="F27" s="13">
        <v>5.33</v>
      </c>
      <c r="G27" s="13">
        <v>6.17</v>
      </c>
      <c r="H27" s="13">
        <v>6.25</v>
      </c>
      <c r="I27" s="13">
        <v>6.06</v>
      </c>
      <c r="J27" s="13">
        <v>5.28</v>
      </c>
      <c r="K27" s="13">
        <v>5.47</v>
      </c>
      <c r="L27" s="13">
        <v>5.31</v>
      </c>
      <c r="M27" s="13">
        <v>4.6100000000000003</v>
      </c>
      <c r="N27" s="13">
        <v>4.53</v>
      </c>
      <c r="O27" s="13">
        <v>4.47</v>
      </c>
      <c r="P27" s="13">
        <v>4.3099999999999996</v>
      </c>
    </row>
    <row r="28" spans="1:16">
      <c r="A28" s="42"/>
      <c r="C28" s="7" t="s">
        <v>11</v>
      </c>
      <c r="D28" s="7" t="s">
        <v>12</v>
      </c>
      <c r="E28" s="9">
        <v>4.8</v>
      </c>
      <c r="F28" s="9">
        <v>5.3</v>
      </c>
      <c r="G28" s="9">
        <v>6.1</v>
      </c>
      <c r="H28" s="9">
        <v>5.9</v>
      </c>
      <c r="I28" s="9">
        <v>5.6</v>
      </c>
      <c r="J28" s="9">
        <v>5.0999999999999996</v>
      </c>
      <c r="K28" s="9">
        <v>5.3</v>
      </c>
      <c r="L28" s="9">
        <v>5.4</v>
      </c>
      <c r="M28" s="9">
        <v>4.9000000000000004</v>
      </c>
      <c r="N28" s="9">
        <v>5.2</v>
      </c>
      <c r="O28" s="9">
        <v>5</v>
      </c>
      <c r="P28" s="9">
        <v>4.7</v>
      </c>
    </row>
    <row r="29" spans="1:16">
      <c r="A29" s="42"/>
      <c r="C29" s="10" t="s">
        <v>13</v>
      </c>
      <c r="D29" s="10" t="s">
        <v>13</v>
      </c>
      <c r="E29" s="14">
        <v>4.0999999999999996</v>
      </c>
      <c r="F29" s="14">
        <v>4.9000000000000004</v>
      </c>
      <c r="G29" s="14">
        <v>6</v>
      </c>
      <c r="H29" s="14">
        <v>7.4</v>
      </c>
      <c r="I29" s="14">
        <v>8.1999999999999993</v>
      </c>
      <c r="J29" s="14">
        <v>8.1</v>
      </c>
      <c r="K29" s="14">
        <v>6.8</v>
      </c>
      <c r="L29" s="14">
        <v>6.2</v>
      </c>
      <c r="M29" s="14">
        <v>5.7</v>
      </c>
      <c r="N29" s="14">
        <v>5.2</v>
      </c>
      <c r="O29" s="14">
        <v>4.5999999999999996</v>
      </c>
      <c r="P29" s="14">
        <v>3.8</v>
      </c>
    </row>
    <row r="30" spans="1:16">
      <c r="A30" s="42"/>
      <c r="C30" s="7" t="s">
        <v>14</v>
      </c>
      <c r="D30" s="7" t="s">
        <v>14</v>
      </c>
      <c r="E30" s="9">
        <v>3.7</v>
      </c>
      <c r="F30" s="9">
        <v>4.5</v>
      </c>
      <c r="G30" s="9">
        <v>4.9000000000000004</v>
      </c>
      <c r="H30" s="9">
        <v>5.0999999999999996</v>
      </c>
      <c r="I30" s="9">
        <v>5.0999999999999996</v>
      </c>
      <c r="J30" s="9">
        <v>4.8</v>
      </c>
      <c r="K30" s="9">
        <v>4.7</v>
      </c>
      <c r="L30" s="9">
        <v>5.0999999999999996</v>
      </c>
      <c r="M30" s="9">
        <v>4.5999999999999996</v>
      </c>
      <c r="N30" s="9">
        <v>4.8</v>
      </c>
      <c r="O30" s="9">
        <v>4.0999999999999996</v>
      </c>
      <c r="P30" s="9">
        <v>3.6</v>
      </c>
    </row>
    <row r="31" spans="1:16">
      <c r="A31" s="42"/>
    </row>
    <row r="32" spans="1:16" ht="15.75">
      <c r="A32" s="42"/>
      <c r="C32" s="2" t="s">
        <v>30</v>
      </c>
      <c r="D32" s="2"/>
      <c r="E32" s="2"/>
      <c r="F32" s="2"/>
      <c r="G32" s="2"/>
      <c r="H32" s="2"/>
      <c r="I32" s="2"/>
      <c r="J32" s="2"/>
      <c r="K32" s="2"/>
      <c r="L32" s="2"/>
      <c r="M32" s="2"/>
      <c r="N32" s="2"/>
      <c r="O32" s="2"/>
      <c r="P32" s="2"/>
    </row>
    <row r="33" spans="1:16">
      <c r="A33" s="42"/>
    </row>
    <row r="34" spans="1:16">
      <c r="A34" s="42"/>
      <c r="C34" s="6" t="s">
        <v>27</v>
      </c>
      <c r="D34" s="6" t="s">
        <v>28</v>
      </c>
      <c r="E34" s="12" t="s">
        <v>15</v>
      </c>
      <c r="F34" s="12" t="s">
        <v>16</v>
      </c>
      <c r="G34" s="12" t="s">
        <v>17</v>
      </c>
      <c r="H34" s="12" t="s">
        <v>18</v>
      </c>
      <c r="I34" s="12" t="s">
        <v>19</v>
      </c>
      <c r="J34" s="12" t="s">
        <v>20</v>
      </c>
      <c r="K34" s="12" t="s">
        <v>21</v>
      </c>
      <c r="L34" s="12" t="s">
        <v>22</v>
      </c>
      <c r="M34" s="12" t="s">
        <v>23</v>
      </c>
      <c r="N34" s="12" t="s">
        <v>24</v>
      </c>
      <c r="O34" s="12" t="s">
        <v>25</v>
      </c>
      <c r="P34" s="12" t="s">
        <v>26</v>
      </c>
    </row>
    <row r="35" spans="1:16">
      <c r="A35" s="42"/>
      <c r="C35" s="7" t="s">
        <v>8</v>
      </c>
      <c r="D35" s="7" t="s">
        <v>8</v>
      </c>
      <c r="E35" s="8">
        <v>13.7</v>
      </c>
      <c r="F35" s="8">
        <v>14.9</v>
      </c>
      <c r="G35" s="8">
        <v>17.899999999999999</v>
      </c>
      <c r="H35" s="8">
        <v>20.5</v>
      </c>
      <c r="I35" s="8">
        <v>22.5</v>
      </c>
      <c r="J35" s="8">
        <v>21.9</v>
      </c>
      <c r="K35" s="8">
        <v>20.5</v>
      </c>
      <c r="L35" s="8">
        <v>20.3</v>
      </c>
      <c r="M35" s="8">
        <v>19.7</v>
      </c>
      <c r="N35" s="8">
        <v>17.899999999999999</v>
      </c>
      <c r="O35" s="8">
        <v>15.7</v>
      </c>
      <c r="P35" s="8">
        <v>13.8</v>
      </c>
    </row>
    <row r="36" spans="1:16">
      <c r="A36" s="42"/>
      <c r="C36" s="10" t="s">
        <v>9</v>
      </c>
      <c r="D36" s="10" t="s">
        <v>10</v>
      </c>
      <c r="E36" s="11">
        <v>12.9</v>
      </c>
      <c r="F36" s="11">
        <v>14.5</v>
      </c>
      <c r="G36" s="11">
        <v>17</v>
      </c>
      <c r="H36" s="11">
        <v>18</v>
      </c>
      <c r="I36" s="11">
        <v>18.100000000000001</v>
      </c>
      <c r="J36" s="11">
        <v>17.2</v>
      </c>
      <c r="K36" s="11">
        <v>16</v>
      </c>
      <c r="L36" s="11">
        <v>16.3</v>
      </c>
      <c r="M36" s="11">
        <v>15.7</v>
      </c>
      <c r="N36" s="11">
        <v>15.1</v>
      </c>
      <c r="O36" s="11">
        <v>14</v>
      </c>
      <c r="P36" s="11">
        <v>12.9</v>
      </c>
    </row>
    <row r="37" spans="1:16">
      <c r="A37" s="42"/>
      <c r="C37" s="7" t="s">
        <v>11</v>
      </c>
      <c r="D37" s="7" t="s">
        <v>12</v>
      </c>
      <c r="E37" s="8">
        <v>19.899999999999999</v>
      </c>
      <c r="F37" s="8">
        <v>20.6</v>
      </c>
      <c r="G37" s="8">
        <v>21.9</v>
      </c>
      <c r="H37" s="8">
        <v>24.6</v>
      </c>
      <c r="I37" s="8">
        <v>27.3</v>
      </c>
      <c r="J37" s="8">
        <v>29.6</v>
      </c>
      <c r="K37" s="8">
        <v>29.7</v>
      </c>
      <c r="L37" s="8">
        <v>29.1</v>
      </c>
      <c r="M37" s="8">
        <v>29</v>
      </c>
      <c r="N37" s="8">
        <v>27.7</v>
      </c>
      <c r="O37" s="8">
        <v>24</v>
      </c>
      <c r="P37" s="8">
        <v>20.7</v>
      </c>
    </row>
    <row r="38" spans="1:16">
      <c r="A38" s="42"/>
      <c r="C38" s="10" t="s">
        <v>13</v>
      </c>
      <c r="D38" s="10" t="s">
        <v>13</v>
      </c>
      <c r="E38" s="11">
        <v>9.8000000000000007</v>
      </c>
      <c r="F38" s="11">
        <v>11.9</v>
      </c>
      <c r="G38" s="11">
        <v>15.4</v>
      </c>
      <c r="H38" s="11">
        <v>19.7</v>
      </c>
      <c r="I38" s="11">
        <v>23.6</v>
      </c>
      <c r="J38" s="11">
        <v>26.7</v>
      </c>
      <c r="K38" s="11">
        <v>25.3</v>
      </c>
      <c r="L38" s="11">
        <v>24.2</v>
      </c>
      <c r="M38" s="11">
        <v>22.3</v>
      </c>
      <c r="N38" s="11">
        <v>18.600000000000001</v>
      </c>
      <c r="O38" s="11">
        <v>13.4</v>
      </c>
      <c r="P38" s="11">
        <v>10</v>
      </c>
    </row>
    <row r="39" spans="1:16">
      <c r="A39" s="42"/>
      <c r="C39" s="7" t="s">
        <v>14</v>
      </c>
      <c r="D39" s="7" t="s">
        <v>14</v>
      </c>
      <c r="E39" s="8">
        <v>25.1</v>
      </c>
      <c r="F39" s="8">
        <v>26.5</v>
      </c>
      <c r="G39" s="8">
        <v>27.7</v>
      </c>
      <c r="H39" s="8">
        <v>29.2</v>
      </c>
      <c r="I39" s="8">
        <v>29.8</v>
      </c>
      <c r="J39" s="8">
        <v>29.6</v>
      </c>
      <c r="K39" s="8">
        <v>29.1</v>
      </c>
      <c r="L39" s="8">
        <v>29.6</v>
      </c>
      <c r="M39" s="8">
        <v>29.4</v>
      </c>
      <c r="N39" s="8">
        <v>28.5</v>
      </c>
      <c r="O39" s="8">
        <v>27.3</v>
      </c>
      <c r="P39" s="8">
        <v>25.7</v>
      </c>
    </row>
    <row r="40" spans="1:16">
      <c r="A40" s="42"/>
    </row>
    <row r="41" spans="1:16">
      <c r="A41" s="42"/>
    </row>
    <row r="42" spans="1:16">
      <c r="A42" s="42"/>
      <c r="C42" s="17" t="s">
        <v>33</v>
      </c>
    </row>
    <row r="43" spans="1:16">
      <c r="A43" s="42"/>
      <c r="C43" s="16">
        <v>0</v>
      </c>
      <c r="D43"/>
    </row>
    <row r="44" spans="1:16">
      <c r="A44" s="42"/>
      <c r="C44" s="16">
        <v>1</v>
      </c>
      <c r="D44"/>
    </row>
    <row r="45" spans="1:16">
      <c r="A45" s="42"/>
      <c r="C45" s="16">
        <v>2</v>
      </c>
    </row>
    <row r="46" spans="1:16">
      <c r="A46" s="42"/>
      <c r="C46" s="16">
        <v>3</v>
      </c>
    </row>
    <row r="47" spans="1:16">
      <c r="A47" s="42"/>
      <c r="C47" s="16">
        <v>4</v>
      </c>
    </row>
    <row r="48" spans="1:16">
      <c r="A48" s="42"/>
      <c r="C48" s="16">
        <v>5</v>
      </c>
    </row>
    <row r="49" spans="1:6">
      <c r="A49" s="42"/>
      <c r="C49" s="16">
        <v>6</v>
      </c>
    </row>
    <row r="50" spans="1:6">
      <c r="A50" s="42"/>
      <c r="C50" s="16">
        <v>7</v>
      </c>
    </row>
    <row r="51" spans="1:6">
      <c r="A51" s="42"/>
      <c r="C51" s="16">
        <v>8</v>
      </c>
    </row>
    <row r="52" spans="1:6">
      <c r="A52" s="42"/>
      <c r="C52" s="16">
        <v>9</v>
      </c>
    </row>
    <row r="53" spans="1:6">
      <c r="A53" s="42"/>
      <c r="C53" s="16">
        <v>10</v>
      </c>
    </row>
    <row r="54" spans="1:6">
      <c r="A54" s="42"/>
      <c r="C54" s="16">
        <v>11</v>
      </c>
    </row>
    <row r="55" spans="1:6">
      <c r="A55" s="42"/>
      <c r="C55" s="16">
        <v>12</v>
      </c>
    </row>
    <row r="56" spans="1:6">
      <c r="A56" s="42"/>
      <c r="C56" s="16">
        <v>13</v>
      </c>
    </row>
    <row r="57" spans="1:6">
      <c r="A57" s="42"/>
      <c r="C57" s="16">
        <v>14</v>
      </c>
    </row>
    <row r="58" spans="1:6">
      <c r="A58" s="42"/>
      <c r="C58" s="16">
        <v>15</v>
      </c>
      <c r="F58"/>
    </row>
    <row r="59" spans="1:6">
      <c r="A59" s="42"/>
      <c r="C59" s="16">
        <v>16</v>
      </c>
      <c r="F59"/>
    </row>
    <row r="60" spans="1:6">
      <c r="A60" s="42"/>
      <c r="C60" s="16">
        <v>17</v>
      </c>
    </row>
    <row r="61" spans="1:6">
      <c r="A61" s="42"/>
      <c r="C61" s="16">
        <v>18</v>
      </c>
      <c r="F61"/>
    </row>
    <row r="62" spans="1:6">
      <c r="A62" s="42"/>
      <c r="C62" s="16">
        <v>19</v>
      </c>
    </row>
    <row r="63" spans="1:6">
      <c r="A63" s="42"/>
      <c r="C63" s="16">
        <v>20</v>
      </c>
    </row>
    <row r="64" spans="1:6">
      <c r="A64" s="42"/>
    </row>
    <row r="65" spans="1:7">
      <c r="A65" s="42"/>
      <c r="C65" s="21" t="s">
        <v>34</v>
      </c>
      <c r="D65" s="21" t="s">
        <v>120</v>
      </c>
      <c r="E65" s="21" t="s">
        <v>65</v>
      </c>
    </row>
    <row r="66" spans="1:7">
      <c r="A66" s="42"/>
      <c r="C66" s="1" t="s">
        <v>42</v>
      </c>
      <c r="D66" s="44">
        <v>0.74</v>
      </c>
      <c r="E66" s="44">
        <v>0.5</v>
      </c>
    </row>
    <row r="67" spans="1:7">
      <c r="A67" s="42"/>
      <c r="C67" s="1" t="s">
        <v>37</v>
      </c>
      <c r="D67" s="44">
        <v>0.74</v>
      </c>
      <c r="E67" s="44">
        <v>0.65</v>
      </c>
    </row>
    <row r="68" spans="1:7">
      <c r="A68" s="42"/>
      <c r="C68" s="1" t="s">
        <v>38</v>
      </c>
      <c r="D68" s="44">
        <v>0.74</v>
      </c>
      <c r="E68" s="44">
        <v>0.45</v>
      </c>
    </row>
    <row r="69" spans="1:7">
      <c r="A69" s="42"/>
    </row>
    <row r="70" spans="1:7" ht="45">
      <c r="A70" s="42"/>
      <c r="C70" s="28" t="s">
        <v>35</v>
      </c>
      <c r="D70" s="28" t="s">
        <v>43</v>
      </c>
      <c r="E70" s="28" t="s">
        <v>52</v>
      </c>
      <c r="F70" s="28" t="s">
        <v>63</v>
      </c>
      <c r="G70" s="66" t="s">
        <v>91</v>
      </c>
    </row>
    <row r="71" spans="1:7">
      <c r="A71" s="42"/>
      <c r="C71" s="4" t="s">
        <v>39</v>
      </c>
      <c r="D71" s="4" t="s">
        <v>50</v>
      </c>
      <c r="E71" s="27">
        <v>13.748521650000001</v>
      </c>
      <c r="F71" s="27">
        <v>227.16</v>
      </c>
      <c r="G71" s="67">
        <v>12.24</v>
      </c>
    </row>
    <row r="72" spans="1:7">
      <c r="A72" s="42"/>
      <c r="C72" s="1" t="s">
        <v>132</v>
      </c>
      <c r="D72" s="4" t="s">
        <v>51</v>
      </c>
      <c r="E72" s="27">
        <v>10.427326000000001</v>
      </c>
      <c r="F72" s="27">
        <v>201.96</v>
      </c>
      <c r="G72" s="67">
        <v>6.96</v>
      </c>
    </row>
    <row r="73" spans="1:7">
      <c r="A73" s="42"/>
    </row>
    <row r="74" spans="1:7">
      <c r="A74" s="42"/>
      <c r="C74" s="40" t="s">
        <v>60</v>
      </c>
    </row>
    <row r="75" spans="1:7" ht="60">
      <c r="A75" s="42"/>
      <c r="C75" s="28" t="s">
        <v>53</v>
      </c>
      <c r="D75" s="28" t="s">
        <v>61</v>
      </c>
      <c r="E75" s="28" t="s">
        <v>62</v>
      </c>
    </row>
    <row r="76" spans="1:7">
      <c r="A76" s="42"/>
      <c r="C76" s="20" t="s">
        <v>54</v>
      </c>
      <c r="D76" s="37">
        <v>5000</v>
      </c>
      <c r="E76" s="37">
        <v>4500</v>
      </c>
    </row>
    <row r="77" spans="1:7">
      <c r="A77" s="42"/>
    </row>
    <row r="78" spans="1:7">
      <c r="A78" s="42"/>
      <c r="E78"/>
    </row>
    <row r="79" spans="1:7">
      <c r="A79" s="42"/>
      <c r="C79" s="46" t="s">
        <v>104</v>
      </c>
    </row>
    <row r="80" spans="1:7">
      <c r="A80" s="42"/>
      <c r="C80" s="45" t="s">
        <v>58</v>
      </c>
      <c r="D80" s="75">
        <v>0.45</v>
      </c>
    </row>
    <row r="81" spans="1:8">
      <c r="A81" s="42"/>
      <c r="C81" s="45" t="s">
        <v>59</v>
      </c>
      <c r="D81" s="75">
        <v>0.55000000000000004</v>
      </c>
    </row>
    <row r="82" spans="1:8">
      <c r="A82" s="42"/>
    </row>
    <row r="83" spans="1:8" ht="60">
      <c r="A83" s="42"/>
      <c r="C83" s="50" t="s">
        <v>75</v>
      </c>
      <c r="D83" s="51" t="s">
        <v>76</v>
      </c>
      <c r="E83" s="53" t="s">
        <v>77</v>
      </c>
    </row>
    <row r="84" spans="1:8">
      <c r="A84" s="42"/>
      <c r="C84" s="77" t="s">
        <v>72</v>
      </c>
      <c r="D84" s="76">
        <v>1.8</v>
      </c>
      <c r="E84" s="76">
        <v>150</v>
      </c>
      <c r="F84" s="26" t="str">
        <f>C84</f>
        <v xml:space="preserve">T - CSP - 150 - 2 </v>
      </c>
    </row>
    <row r="85" spans="1:8">
      <c r="A85" s="42"/>
      <c r="C85" s="78" t="s">
        <v>73</v>
      </c>
      <c r="D85" s="76">
        <v>3.6</v>
      </c>
      <c r="E85" s="76">
        <v>300</v>
      </c>
      <c r="F85" s="26" t="str">
        <f>C85</f>
        <v xml:space="preserve">T - CSP - 300 - 4 </v>
      </c>
    </row>
    <row r="86" spans="1:8">
      <c r="A86" s="42"/>
      <c r="C86" s="49"/>
    </row>
    <row r="87" spans="1:8" ht="30">
      <c r="A87" s="42"/>
      <c r="C87" s="50" t="s">
        <v>75</v>
      </c>
      <c r="D87" s="51" t="s">
        <v>76</v>
      </c>
    </row>
    <row r="88" spans="1:8">
      <c r="A88" s="42"/>
      <c r="C88" s="52" t="s">
        <v>74</v>
      </c>
      <c r="D88" s="4">
        <v>1</v>
      </c>
    </row>
    <row r="89" spans="1:8">
      <c r="A89" s="42"/>
    </row>
    <row r="90" spans="1:8">
      <c r="A90" s="42"/>
    </row>
    <row r="91" spans="1:8">
      <c r="A91" s="42"/>
      <c r="C91" t="s">
        <v>32</v>
      </c>
    </row>
    <row r="92" spans="1:8">
      <c r="A92" s="42"/>
      <c r="C92" t="s">
        <v>46</v>
      </c>
      <c r="D92" s="58">
        <v>1.16278E-3</v>
      </c>
      <c r="E92" t="s">
        <v>4</v>
      </c>
    </row>
    <row r="93" spans="1:8">
      <c r="A93" s="42"/>
      <c r="C93" s="3" t="s">
        <v>5</v>
      </c>
      <c r="D93" s="59">
        <v>55</v>
      </c>
      <c r="E93" s="3" t="s">
        <v>6</v>
      </c>
    </row>
    <row r="94" spans="1:8">
      <c r="A94" s="42"/>
      <c r="C94" t="s">
        <v>66</v>
      </c>
      <c r="D94" s="59">
        <v>-2</v>
      </c>
      <c r="E94" t="s">
        <v>6</v>
      </c>
    </row>
    <row r="95" spans="1:8">
      <c r="A95" s="42"/>
    </row>
    <row r="96" spans="1:8">
      <c r="A96" s="42"/>
      <c r="C96" s="3" t="s">
        <v>45</v>
      </c>
      <c r="D96" s="59">
        <v>50</v>
      </c>
      <c r="E96" t="s">
        <v>36</v>
      </c>
      <c r="H96" s="3">
        <v>1.1627777777777778E-3</v>
      </c>
    </row>
    <row r="97" spans="1:17">
      <c r="A97" s="42"/>
    </row>
    <row r="98" spans="1:17">
      <c r="A98" s="42"/>
    </row>
    <row r="99" spans="1:17">
      <c r="A99" s="42"/>
    </row>
    <row r="100" spans="1:17" ht="45">
      <c r="A100" s="42"/>
      <c r="C100" s="55" t="s">
        <v>79</v>
      </c>
      <c r="D100" s="57">
        <v>0.5</v>
      </c>
      <c r="E100" t="s">
        <v>80</v>
      </c>
    </row>
    <row r="101" spans="1:17">
      <c r="A101" s="42"/>
    </row>
    <row r="102" spans="1:17" ht="30">
      <c r="A102" s="42"/>
      <c r="C102" s="65" t="s">
        <v>90</v>
      </c>
      <c r="D102" s="57">
        <v>0.8</v>
      </c>
    </row>
    <row r="103" spans="1:17">
      <c r="A103" s="42"/>
    </row>
    <row r="106" spans="1:17" ht="18.75">
      <c r="C106" s="41" t="s">
        <v>71</v>
      </c>
      <c r="D106" s="5"/>
      <c r="E106" s="5"/>
      <c r="F106" s="5"/>
      <c r="G106" s="5"/>
      <c r="H106" s="5"/>
      <c r="I106" s="5"/>
      <c r="J106" s="5"/>
      <c r="K106" s="5"/>
      <c r="L106" s="5"/>
      <c r="M106" s="5"/>
      <c r="N106" s="5"/>
      <c r="O106" s="5"/>
      <c r="P106" s="5"/>
      <c r="Q106" s="5"/>
    </row>
    <row r="108" spans="1:17">
      <c r="J108" s="3">
        <v>2.4857181800000001</v>
      </c>
    </row>
    <row r="109" spans="1:17">
      <c r="C109" s="3" t="s">
        <v>44</v>
      </c>
      <c r="D109" s="26">
        <f>D11*$D$96+D13</f>
        <v>400</v>
      </c>
      <c r="J109" s="3">
        <v>0.46636364000000002</v>
      </c>
    </row>
    <row r="111" spans="1:17">
      <c r="K111" s="3" t="s">
        <v>3</v>
      </c>
    </row>
    <row r="112" spans="1:17" ht="75">
      <c r="C112" s="54" t="s">
        <v>78</v>
      </c>
      <c r="D112" s="34" t="s">
        <v>49</v>
      </c>
      <c r="E112" s="34" t="s">
        <v>48</v>
      </c>
      <c r="F112" s="34" t="s">
        <v>57</v>
      </c>
      <c r="G112" s="34" t="s">
        <v>55</v>
      </c>
      <c r="H112" s="34" t="s">
        <v>56</v>
      </c>
      <c r="I112" s="34" t="s">
        <v>142</v>
      </c>
      <c r="J112" s="34" t="s">
        <v>67</v>
      </c>
      <c r="K112" s="34" t="s">
        <v>111</v>
      </c>
      <c r="L112" s="34" t="s">
        <v>143</v>
      </c>
      <c r="M112" s="34" t="s">
        <v>110</v>
      </c>
      <c r="O112" s="3">
        <v>2.4872727466666666</v>
      </c>
    </row>
    <row r="113" spans="3:17">
      <c r="C113" s="1" t="s">
        <v>47</v>
      </c>
      <c r="D113" s="4">
        <v>1</v>
      </c>
      <c r="E113" s="4">
        <v>31</v>
      </c>
      <c r="F113" s="27">
        <f t="shared" ref="F113:F124" si="0">VLOOKUP($D$9,$D$26:$P$30,1+D113,FALSE)</f>
        <v>4.5</v>
      </c>
      <c r="G113" s="4">
        <f t="shared" ref="G113:G124" si="1">VLOOKUP($D$9,$D$35:$P$39,1+D113,FALSE)</f>
        <v>13.7</v>
      </c>
      <c r="H113" s="4">
        <f t="shared" ref="H113:H124" si="2">G113+$D$94</f>
        <v>11.7</v>
      </c>
      <c r="I113" s="4">
        <f t="shared" ref="I113:I124" si="3">$D$93-H113</f>
        <v>43.3</v>
      </c>
      <c r="J113" s="29">
        <f>$D$109*$D$92*I113</f>
        <v>20.139349599999996</v>
      </c>
      <c r="K113" s="39">
        <f>D80</f>
        <v>0.45</v>
      </c>
      <c r="L113" s="29">
        <f t="shared" ref="L113:L124" si="4">F113*K113</f>
        <v>2.0249999999999999</v>
      </c>
      <c r="M113" s="27">
        <f t="shared" ref="M113:M124" si="5">J113/L113</f>
        <v>9.9453578271604925</v>
      </c>
      <c r="N113" s="114">
        <v>0.45</v>
      </c>
      <c r="O113" s="113">
        <f>F113*N113</f>
        <v>2.0249999999999999</v>
      </c>
      <c r="P113" s="113">
        <f>J113/O113</f>
        <v>9.9453578271604925</v>
      </c>
      <c r="Q113" s="113"/>
    </row>
    <row r="114" spans="3:17">
      <c r="C114" s="1" t="s">
        <v>16</v>
      </c>
      <c r="D114" s="4">
        <v>2</v>
      </c>
      <c r="E114" s="4">
        <v>28</v>
      </c>
      <c r="F114" s="27">
        <f t="shared" si="0"/>
        <v>5.2</v>
      </c>
      <c r="G114" s="4">
        <f t="shared" si="1"/>
        <v>14.9</v>
      </c>
      <c r="H114" s="4">
        <f t="shared" si="2"/>
        <v>12.9</v>
      </c>
      <c r="I114" s="4">
        <f t="shared" si="3"/>
        <v>42.1</v>
      </c>
      <c r="J114" s="29">
        <f>$D$109*$D$92*I114</f>
        <v>19.581215199999999</v>
      </c>
      <c r="K114" s="35">
        <f>($K$113/$K$118)*2/100+K113</f>
        <v>0.46636363636363637</v>
      </c>
      <c r="L114" s="29">
        <f>F114*K114</f>
        <v>2.4250909090909092</v>
      </c>
      <c r="M114" s="27">
        <f>J114/L114</f>
        <v>8.0744252211725893</v>
      </c>
      <c r="N114" s="114">
        <v>0.46636364000000002</v>
      </c>
      <c r="O114" s="113">
        <f>5.33*0.46636364</f>
        <v>2.4857182012000001</v>
      </c>
      <c r="P114" s="113">
        <f t="shared" ref="P114:P124" si="6">J114/O114</f>
        <v>7.8774879592332763</v>
      </c>
      <c r="Q114" s="113"/>
    </row>
    <row r="115" spans="3:17">
      <c r="C115" s="1" t="s">
        <v>17</v>
      </c>
      <c r="D115" s="4">
        <v>3</v>
      </c>
      <c r="E115" s="4">
        <v>31</v>
      </c>
      <c r="F115" s="27">
        <f t="shared" si="0"/>
        <v>5.9</v>
      </c>
      <c r="G115" s="4">
        <f t="shared" si="1"/>
        <v>17.899999999999999</v>
      </c>
      <c r="H115" s="4">
        <f t="shared" si="2"/>
        <v>15.899999999999999</v>
      </c>
      <c r="I115" s="4">
        <f t="shared" si="3"/>
        <v>39.1</v>
      </c>
      <c r="J115" s="29">
        <f t="shared" ref="J115:J124" si="7">$D$109*$D$92*I115</f>
        <v>18.185879199999999</v>
      </c>
      <c r="K115" s="35">
        <f t="shared" ref="K115:K116" si="8">($K$113/$K$118)*2/100+K114</f>
        <v>0.48272727272727273</v>
      </c>
      <c r="L115" s="29">
        <f t="shared" si="4"/>
        <v>2.8480909090909092</v>
      </c>
      <c r="M115" s="27">
        <f t="shared" si="5"/>
        <v>6.3852874716716137</v>
      </c>
      <c r="N115" s="114">
        <f t="shared" ref="N115:N117" si="9">($K$113/$K$118)*2/100+K114</f>
        <v>0.48272727272727273</v>
      </c>
      <c r="O115" s="113">
        <f t="shared" ref="O115:O124" si="10">F115*N115</f>
        <v>2.8480909090909092</v>
      </c>
      <c r="P115" s="113">
        <f t="shared" si="6"/>
        <v>6.3852874716716137</v>
      </c>
      <c r="Q115" s="113"/>
    </row>
    <row r="116" spans="3:17">
      <c r="C116" s="1" t="s">
        <v>18</v>
      </c>
      <c r="D116" s="4">
        <v>4</v>
      </c>
      <c r="E116" s="4">
        <v>30</v>
      </c>
      <c r="F116" s="27">
        <f t="shared" si="0"/>
        <v>6.6</v>
      </c>
      <c r="G116" s="4">
        <f t="shared" si="1"/>
        <v>20.5</v>
      </c>
      <c r="H116" s="4">
        <f t="shared" si="2"/>
        <v>18.5</v>
      </c>
      <c r="I116" s="4">
        <f t="shared" si="3"/>
        <v>36.5</v>
      </c>
      <c r="J116" s="29">
        <f t="shared" si="7"/>
        <v>16.976588</v>
      </c>
      <c r="K116" s="35">
        <f t="shared" si="8"/>
        <v>0.49909090909090909</v>
      </c>
      <c r="L116" s="29">
        <f t="shared" si="4"/>
        <v>3.2939999999999996</v>
      </c>
      <c r="M116" s="27">
        <f t="shared" si="5"/>
        <v>5.1537911353976931</v>
      </c>
      <c r="N116" s="114">
        <f t="shared" si="9"/>
        <v>0.49909090909090909</v>
      </c>
      <c r="O116" s="113">
        <f t="shared" si="10"/>
        <v>3.2939999999999996</v>
      </c>
      <c r="P116" s="113">
        <f t="shared" si="6"/>
        <v>5.1537911353976931</v>
      </c>
      <c r="Q116" s="113"/>
    </row>
    <row r="117" spans="3:17">
      <c r="C117" s="1" t="s">
        <v>19</v>
      </c>
      <c r="D117" s="4">
        <v>5</v>
      </c>
      <c r="E117" s="4">
        <v>31</v>
      </c>
      <c r="F117" s="27">
        <f t="shared" si="0"/>
        <v>7.2</v>
      </c>
      <c r="G117" s="4">
        <f t="shared" si="1"/>
        <v>22.5</v>
      </c>
      <c r="H117" s="4">
        <f t="shared" si="2"/>
        <v>20.5</v>
      </c>
      <c r="I117" s="4">
        <f t="shared" si="3"/>
        <v>34.5</v>
      </c>
      <c r="J117" s="29">
        <f t="shared" si="7"/>
        <v>16.046364000000001</v>
      </c>
      <c r="K117" s="35">
        <f>($K$113/$K$118)*2/100+K116</f>
        <v>0.5154545454545455</v>
      </c>
      <c r="L117" s="29">
        <f t="shared" si="4"/>
        <v>3.7112727272727275</v>
      </c>
      <c r="M117" s="27">
        <f t="shared" si="5"/>
        <v>4.3236822457378015</v>
      </c>
      <c r="N117" s="114">
        <f t="shared" si="9"/>
        <v>0.5154545454545455</v>
      </c>
      <c r="O117" s="113">
        <f t="shared" si="10"/>
        <v>3.7112727272727275</v>
      </c>
      <c r="P117" s="113">
        <f t="shared" si="6"/>
        <v>4.3236822457378015</v>
      </c>
      <c r="Q117" s="113"/>
    </row>
    <row r="118" spans="3:17">
      <c r="C118" s="1" t="s">
        <v>20</v>
      </c>
      <c r="D118" s="4">
        <v>6</v>
      </c>
      <c r="E118" s="4">
        <v>30</v>
      </c>
      <c r="F118" s="27">
        <f t="shared" si="0"/>
        <v>6.3</v>
      </c>
      <c r="G118" s="4">
        <f t="shared" si="1"/>
        <v>21.9</v>
      </c>
      <c r="H118" s="4">
        <f t="shared" si="2"/>
        <v>19.899999999999999</v>
      </c>
      <c r="I118" s="4">
        <f t="shared" si="3"/>
        <v>35.1</v>
      </c>
      <c r="J118" s="29">
        <f t="shared" si="7"/>
        <v>16.325431200000001</v>
      </c>
      <c r="K118" s="39">
        <f>D81</f>
        <v>0.55000000000000004</v>
      </c>
      <c r="L118" s="29">
        <f t="shared" si="4"/>
        <v>3.4650000000000003</v>
      </c>
      <c r="M118" s="27">
        <f t="shared" si="5"/>
        <v>4.7115241558441552</v>
      </c>
      <c r="N118" s="114">
        <v>0.55000000000000004</v>
      </c>
      <c r="O118" s="113">
        <f t="shared" si="10"/>
        <v>3.4650000000000003</v>
      </c>
      <c r="P118" s="113">
        <f t="shared" si="6"/>
        <v>4.7115241558441552</v>
      </c>
      <c r="Q118" s="113"/>
    </row>
    <row r="119" spans="3:17">
      <c r="C119" s="1" t="s">
        <v>21</v>
      </c>
      <c r="D119" s="4">
        <v>7</v>
      </c>
      <c r="E119" s="4">
        <v>31</v>
      </c>
      <c r="F119" s="27">
        <f t="shared" si="0"/>
        <v>6.1</v>
      </c>
      <c r="G119" s="4">
        <f t="shared" si="1"/>
        <v>20.5</v>
      </c>
      <c r="H119" s="4">
        <f t="shared" si="2"/>
        <v>18.5</v>
      </c>
      <c r="I119" s="4">
        <f t="shared" si="3"/>
        <v>36.5</v>
      </c>
      <c r="J119" s="29">
        <f t="shared" si="7"/>
        <v>16.976588</v>
      </c>
      <c r="K119" s="35">
        <f>($K$124/$K$118)/100+K120</f>
        <v>0.52363636363636368</v>
      </c>
      <c r="L119" s="29">
        <f t="shared" si="4"/>
        <v>3.1941818181818182</v>
      </c>
      <c r="M119" s="27">
        <f t="shared" si="5"/>
        <v>5.3148471083788706</v>
      </c>
      <c r="N119" s="114">
        <f>($K$124/$K$118)/100+K120</f>
        <v>0.52363636363636368</v>
      </c>
      <c r="O119" s="113">
        <f t="shared" si="10"/>
        <v>3.1941818181818182</v>
      </c>
      <c r="P119" s="113">
        <f t="shared" si="6"/>
        <v>5.3148471083788706</v>
      </c>
      <c r="Q119" s="113"/>
    </row>
    <row r="120" spans="3:17">
      <c r="C120" s="1" t="s">
        <v>22</v>
      </c>
      <c r="D120" s="4">
        <v>8</v>
      </c>
      <c r="E120" s="4">
        <v>31</v>
      </c>
      <c r="F120" s="27">
        <f t="shared" si="0"/>
        <v>5.9</v>
      </c>
      <c r="G120" s="4">
        <f t="shared" si="1"/>
        <v>20.3</v>
      </c>
      <c r="H120" s="4">
        <f t="shared" si="2"/>
        <v>18.3</v>
      </c>
      <c r="I120" s="4">
        <f t="shared" si="3"/>
        <v>36.700000000000003</v>
      </c>
      <c r="J120" s="29">
        <f t="shared" si="7"/>
        <v>17.069610400000002</v>
      </c>
      <c r="K120" s="35">
        <f t="shared" ref="K120:K123" si="11">($K$124/$K$118)*2/100+K121</f>
        <v>0.5154545454545455</v>
      </c>
      <c r="L120" s="29">
        <f t="shared" si="4"/>
        <v>3.0411818181818187</v>
      </c>
      <c r="M120" s="27">
        <f t="shared" si="5"/>
        <v>5.6128214031626458</v>
      </c>
      <c r="N120" s="114">
        <f>($K$124/$K$118)*2/100+K121</f>
        <v>0.5154545454545455</v>
      </c>
      <c r="O120" s="113">
        <f t="shared" si="10"/>
        <v>3.0411818181818187</v>
      </c>
      <c r="P120" s="113">
        <f t="shared" si="6"/>
        <v>5.6128214031626458</v>
      </c>
      <c r="Q120" s="113"/>
    </row>
    <row r="121" spans="3:17">
      <c r="C121" s="1" t="s">
        <v>23</v>
      </c>
      <c r="D121" s="4">
        <v>9</v>
      </c>
      <c r="E121" s="4">
        <v>30</v>
      </c>
      <c r="F121" s="27">
        <f t="shared" si="0"/>
        <v>5.7</v>
      </c>
      <c r="G121" s="4">
        <f t="shared" si="1"/>
        <v>19.7</v>
      </c>
      <c r="H121" s="4">
        <f t="shared" si="2"/>
        <v>17.7</v>
      </c>
      <c r="I121" s="4">
        <f t="shared" si="3"/>
        <v>37.299999999999997</v>
      </c>
      <c r="J121" s="29">
        <f t="shared" si="7"/>
        <v>17.348677599999998</v>
      </c>
      <c r="K121" s="35">
        <f t="shared" si="11"/>
        <v>0.49909090909090909</v>
      </c>
      <c r="L121" s="29">
        <f t="shared" si="4"/>
        <v>2.8448181818181819</v>
      </c>
      <c r="M121" s="27">
        <f t="shared" si="5"/>
        <v>6.0983431949637295</v>
      </c>
      <c r="N121" s="114">
        <f t="shared" ref="N121:N123" si="12">($K$124/$K$118)*2/100+K122</f>
        <v>0.49909090909090909</v>
      </c>
      <c r="O121" s="113">
        <f t="shared" si="10"/>
        <v>2.8448181818181819</v>
      </c>
      <c r="P121" s="113">
        <f t="shared" si="6"/>
        <v>6.0983431949637295</v>
      </c>
      <c r="Q121" s="113"/>
    </row>
    <row r="122" spans="3:17">
      <c r="C122" s="1" t="s">
        <v>24</v>
      </c>
      <c r="D122" s="4">
        <v>10</v>
      </c>
      <c r="E122" s="4">
        <v>31</v>
      </c>
      <c r="F122" s="27">
        <f t="shared" si="0"/>
        <v>5.0999999999999996</v>
      </c>
      <c r="G122" s="4">
        <f t="shared" si="1"/>
        <v>17.899999999999999</v>
      </c>
      <c r="H122" s="4">
        <f t="shared" si="2"/>
        <v>15.899999999999999</v>
      </c>
      <c r="I122" s="4">
        <f t="shared" si="3"/>
        <v>39.1</v>
      </c>
      <c r="J122" s="29">
        <f t="shared" si="7"/>
        <v>18.185879199999999</v>
      </c>
      <c r="K122" s="35">
        <f t="shared" si="11"/>
        <v>0.48272727272727273</v>
      </c>
      <c r="L122" s="29">
        <f t="shared" si="4"/>
        <v>2.4619090909090908</v>
      </c>
      <c r="M122" s="27">
        <f t="shared" si="5"/>
        <v>7.3869011927181418</v>
      </c>
      <c r="N122" s="114">
        <f t="shared" si="12"/>
        <v>0.48272727272727273</v>
      </c>
      <c r="O122" s="113">
        <f t="shared" si="10"/>
        <v>2.4619090909090908</v>
      </c>
      <c r="P122" s="113">
        <f t="shared" si="6"/>
        <v>7.3869011927181418</v>
      </c>
      <c r="Q122" s="113"/>
    </row>
    <row r="123" spans="3:17">
      <c r="C123" s="1" t="s">
        <v>25</v>
      </c>
      <c r="D123" s="4">
        <v>11</v>
      </c>
      <c r="E123" s="4">
        <v>30</v>
      </c>
      <c r="F123" s="27">
        <f t="shared" si="0"/>
        <v>4.8</v>
      </c>
      <c r="G123" s="4">
        <f t="shared" si="1"/>
        <v>15.7</v>
      </c>
      <c r="H123" s="4">
        <f t="shared" si="2"/>
        <v>13.7</v>
      </c>
      <c r="I123" s="4">
        <f t="shared" si="3"/>
        <v>41.3</v>
      </c>
      <c r="J123" s="29">
        <f t="shared" si="7"/>
        <v>19.209125599999997</v>
      </c>
      <c r="K123" s="35">
        <f t="shared" si="11"/>
        <v>0.46636363636363637</v>
      </c>
      <c r="L123" s="29">
        <f t="shared" si="4"/>
        <v>2.2385454545454544</v>
      </c>
      <c r="M123" s="27">
        <f t="shared" si="5"/>
        <v>8.5810746263807651</v>
      </c>
      <c r="N123" s="114">
        <f t="shared" si="12"/>
        <v>0.46636363636363637</v>
      </c>
      <c r="O123" s="113">
        <f t="shared" si="10"/>
        <v>2.2385454545454544</v>
      </c>
      <c r="P123" s="113">
        <f t="shared" si="6"/>
        <v>8.5810746263807651</v>
      </c>
      <c r="Q123" s="113"/>
    </row>
    <row r="124" spans="3:17">
      <c r="C124" s="1" t="s">
        <v>26</v>
      </c>
      <c r="D124" s="4">
        <v>12</v>
      </c>
      <c r="E124" s="4">
        <v>31</v>
      </c>
      <c r="F124" s="27">
        <f t="shared" si="0"/>
        <v>4</v>
      </c>
      <c r="G124" s="4">
        <f t="shared" si="1"/>
        <v>13.8</v>
      </c>
      <c r="H124" s="4">
        <f t="shared" si="2"/>
        <v>11.8</v>
      </c>
      <c r="I124" s="4">
        <f t="shared" si="3"/>
        <v>43.2</v>
      </c>
      <c r="J124" s="29">
        <f t="shared" si="7"/>
        <v>20.092838400000002</v>
      </c>
      <c r="K124" s="39">
        <f>D80</f>
        <v>0.45</v>
      </c>
      <c r="L124" s="29">
        <f t="shared" si="4"/>
        <v>1.8</v>
      </c>
      <c r="M124" s="27">
        <f t="shared" si="5"/>
        <v>11.162688000000001</v>
      </c>
      <c r="N124" s="114">
        <v>0.45</v>
      </c>
      <c r="O124" s="113">
        <f t="shared" si="10"/>
        <v>1.8</v>
      </c>
      <c r="P124" s="113">
        <f t="shared" si="6"/>
        <v>11.162688000000001</v>
      </c>
      <c r="Q124" s="113"/>
    </row>
    <row r="126" spans="3:17">
      <c r="E126" s="30">
        <f>SUM(E113:E124)</f>
        <v>365</v>
      </c>
      <c r="F126" s="31">
        <f>AVERAGE(F113:F124)</f>
        <v>5.6083333333333334</v>
      </c>
      <c r="G126" s="32">
        <f t="shared" ref="G126:L126" si="13">AVERAGE(G113:G124)</f>
        <v>18.275000000000002</v>
      </c>
      <c r="H126" s="32">
        <f t="shared" si="13"/>
        <v>16.275000000000002</v>
      </c>
      <c r="I126" s="27">
        <f t="shared" si="13"/>
        <v>38.725000000000001</v>
      </c>
      <c r="J126" s="29">
        <f t="shared" si="13"/>
        <v>18.0114622</v>
      </c>
      <c r="K126" s="36">
        <f t="shared" si="13"/>
        <v>0.49174242424242426</v>
      </c>
      <c r="L126" s="29">
        <f t="shared" si="13"/>
        <v>2.7790909090909093</v>
      </c>
      <c r="M126" s="38">
        <f>(AVERAGE(M113:M124))</f>
        <v>6.8958952985490418</v>
      </c>
    </row>
    <row r="127" spans="3:17">
      <c r="K127" s="112">
        <f>K126</f>
        <v>0.49174242424242426</v>
      </c>
    </row>
    <row r="129" spans="3:12">
      <c r="C129" s="48" t="s">
        <v>68</v>
      </c>
      <c r="D129" s="5"/>
      <c r="E129" s="5"/>
      <c r="F129" s="5"/>
      <c r="G129" s="5"/>
    </row>
    <row r="132" spans="3:12">
      <c r="C132" t="s">
        <v>82</v>
      </c>
      <c r="D132" s="60">
        <f>J126</f>
        <v>18.0114622</v>
      </c>
      <c r="E132" t="s">
        <v>83</v>
      </c>
    </row>
    <row r="133" spans="3:12">
      <c r="C133"/>
    </row>
    <row r="134" spans="3:12">
      <c r="C134"/>
    </row>
    <row r="135" spans="3:12">
      <c r="C135" s="48" t="s">
        <v>113</v>
      </c>
      <c r="D135" s="5"/>
      <c r="E135" s="5"/>
      <c r="F135" s="5"/>
      <c r="G135" s="5"/>
    </row>
    <row r="137" spans="3:12">
      <c r="C137" s="1" t="s">
        <v>69</v>
      </c>
      <c r="D137" s="33">
        <f>D109</f>
        <v>400</v>
      </c>
      <c r="G137"/>
    </row>
    <row r="138" spans="3:12">
      <c r="C138" s="1" t="s">
        <v>109</v>
      </c>
      <c r="D138" s="47">
        <f>M126</f>
        <v>6.8958952985490418</v>
      </c>
      <c r="F138" s="47">
        <f>D137/D138</f>
        <v>58.00552106470694</v>
      </c>
      <c r="G138" t="s">
        <v>70</v>
      </c>
    </row>
    <row r="140" spans="3:12">
      <c r="C140" s="83" t="s">
        <v>114</v>
      </c>
      <c r="D140" s="5"/>
      <c r="E140" s="5"/>
      <c r="F140" s="5"/>
      <c r="G140" s="5"/>
      <c r="H140" s="5"/>
      <c r="I140" s="5"/>
      <c r="J140" s="5"/>
      <c r="K140" s="5"/>
    </row>
    <row r="142" spans="3:12" ht="60">
      <c r="C142" s="61" t="s">
        <v>85</v>
      </c>
      <c r="D142" s="61" t="s">
        <v>86</v>
      </c>
      <c r="E142" s="61" t="s">
        <v>84</v>
      </c>
      <c r="F142" s="51" t="s">
        <v>87</v>
      </c>
      <c r="G142" s="51" t="s">
        <v>121</v>
      </c>
      <c r="H142" s="51" t="s">
        <v>88</v>
      </c>
      <c r="I142" s="61" t="s">
        <v>86</v>
      </c>
      <c r="J142" s="1" t="s">
        <v>69</v>
      </c>
      <c r="K142" s="61" t="s">
        <v>92</v>
      </c>
      <c r="L142" s="82"/>
    </row>
    <row r="143" spans="3:12">
      <c r="C143" s="4" t="str">
        <f>C84</f>
        <v xml:space="preserve">T - CSP - 150 - 2 </v>
      </c>
      <c r="D143" s="4">
        <f>D84</f>
        <v>1.8</v>
      </c>
      <c r="E143" s="27">
        <f>D143*L126</f>
        <v>5.0023636363636372</v>
      </c>
      <c r="F143" s="4"/>
      <c r="G143" s="4">
        <f>IF(E144&gt;=D132,1,0)</f>
        <v>0</v>
      </c>
      <c r="H143" s="29">
        <f>G143*E143</f>
        <v>0</v>
      </c>
      <c r="I143" s="4">
        <f>G143*D143</f>
        <v>0</v>
      </c>
      <c r="J143" s="29">
        <f>E84*G143</f>
        <v>0</v>
      </c>
      <c r="K143" s="81">
        <f>D143*G143*$D$76</f>
        <v>0</v>
      </c>
      <c r="L143" s="82"/>
    </row>
    <row r="144" spans="3:12">
      <c r="C144" s="4" t="str">
        <f>C85</f>
        <v xml:space="preserve">T - CSP - 300 - 4 </v>
      </c>
      <c r="D144" s="4">
        <f>D85</f>
        <v>3.6</v>
      </c>
      <c r="E144" s="27">
        <f>D144*L126</f>
        <v>10.004727272727274</v>
      </c>
      <c r="F144" s="29">
        <f>E144/D100</f>
        <v>20.009454545454549</v>
      </c>
      <c r="G144" s="4">
        <f>IF(G143=1,0,IF(F144&gt;D132,1,0))</f>
        <v>1</v>
      </c>
      <c r="H144" s="29">
        <f>G144*E144</f>
        <v>10.004727272727274</v>
      </c>
      <c r="I144" s="4">
        <f>G144*D144</f>
        <v>3.6</v>
      </c>
      <c r="J144" s="4">
        <f>E85*G144</f>
        <v>300</v>
      </c>
      <c r="K144" s="81">
        <f>D144*G144*$D$76</f>
        <v>18000</v>
      </c>
      <c r="L144" s="82" t="str">
        <f>IF(G143=1,C143,IF(G144=1,C144))</f>
        <v xml:space="preserve">T - CSP - 300 - 4 </v>
      </c>
    </row>
    <row r="145" spans="2:12">
      <c r="C145" s="62"/>
      <c r="D145" s="62"/>
      <c r="E145" s="62"/>
      <c r="F145" s="62"/>
      <c r="G145" s="62"/>
      <c r="H145" s="62"/>
      <c r="I145" s="62"/>
      <c r="J145" s="62"/>
      <c r="K145" s="62"/>
      <c r="L145" s="82"/>
    </row>
    <row r="146" spans="2:12">
      <c r="B146" s="3"/>
      <c r="C146" s="1" t="str">
        <f>C88</f>
        <v>C - CSP</v>
      </c>
      <c r="D146" s="63">
        <f>INT(M126)*$D$102</f>
        <v>4.8000000000000007</v>
      </c>
      <c r="E146" s="29">
        <f>D146*L126</f>
        <v>13.339636363636366</v>
      </c>
      <c r="F146" s="4"/>
      <c r="G146" s="1">
        <f>IF(SUM(H143:H144)=0,1,0)</f>
        <v>0</v>
      </c>
      <c r="H146" s="29">
        <f>G146*E146</f>
        <v>0</v>
      </c>
      <c r="I146" s="4">
        <f>G146*D146</f>
        <v>0</v>
      </c>
      <c r="J146" s="30">
        <f>D146*F138*G146</f>
        <v>0</v>
      </c>
      <c r="K146" s="4">
        <f>D146*G146*E76</f>
        <v>0</v>
      </c>
      <c r="L146" s="82" t="str">
        <f>C146</f>
        <v>C - CSP</v>
      </c>
    </row>
    <row r="147" spans="2:12">
      <c r="B147" s="3"/>
    </row>
    <row r="148" spans="2:12">
      <c r="B148" s="3"/>
      <c r="C148" s="48" t="s">
        <v>115</v>
      </c>
      <c r="D148" s="48"/>
      <c r="E148" s="48"/>
      <c r="F148" s="48"/>
    </row>
    <row r="149" spans="2:12">
      <c r="B149" s="3"/>
      <c r="D149" s="64"/>
    </row>
    <row r="150" spans="2:12" ht="45">
      <c r="B150" s="3"/>
      <c r="C150" s="34" t="s">
        <v>78</v>
      </c>
      <c r="D150" s="34" t="str">
        <f>J112</f>
        <v>Q Calor necesario para calentar agua [kWh]</v>
      </c>
      <c r="E150" s="34" t="s">
        <v>144</v>
      </c>
      <c r="F150" s="34" t="s">
        <v>74</v>
      </c>
    </row>
    <row r="151" spans="2:12">
      <c r="B151" s="3"/>
      <c r="C151" s="1" t="s">
        <v>47</v>
      </c>
      <c r="D151" s="27">
        <f t="shared" ref="D151:D162" si="14">J113*E113</f>
        <v>624.31983759999991</v>
      </c>
      <c r="E151" s="27">
        <f t="shared" ref="E151:E162" si="15">SUM($I$143:$I$144)*L113*E113</f>
        <v>225.99</v>
      </c>
      <c r="F151" s="63">
        <f>$I$146*L113*E113</f>
        <v>0</v>
      </c>
    </row>
    <row r="152" spans="2:12">
      <c r="B152" s="3"/>
      <c r="C152" s="1" t="s">
        <v>16</v>
      </c>
      <c r="D152" s="27">
        <f t="shared" si="14"/>
        <v>548.27402559999996</v>
      </c>
      <c r="E152" s="27">
        <f t="shared" si="15"/>
        <v>244.44916363636364</v>
      </c>
      <c r="F152" s="63">
        <f t="shared" ref="F152:F162" si="16">$I$146*L114*E114</f>
        <v>0</v>
      </c>
    </row>
    <row r="153" spans="2:12">
      <c r="C153" s="1" t="s">
        <v>17</v>
      </c>
      <c r="D153" s="27">
        <f t="shared" si="14"/>
        <v>563.76225519999991</v>
      </c>
      <c r="E153" s="27">
        <f t="shared" si="15"/>
        <v>317.84694545454545</v>
      </c>
      <c r="F153" s="63">
        <f t="shared" si="16"/>
        <v>0</v>
      </c>
    </row>
    <row r="154" spans="2:12">
      <c r="C154" s="1" t="s">
        <v>18</v>
      </c>
      <c r="D154" s="27">
        <f t="shared" si="14"/>
        <v>509.29764</v>
      </c>
      <c r="E154" s="27">
        <f t="shared" si="15"/>
        <v>355.75200000000001</v>
      </c>
      <c r="F154" s="63">
        <f t="shared" si="16"/>
        <v>0</v>
      </c>
    </row>
    <row r="155" spans="2:12">
      <c r="C155" s="1" t="s">
        <v>19</v>
      </c>
      <c r="D155" s="27">
        <f t="shared" si="14"/>
        <v>497.43728400000003</v>
      </c>
      <c r="E155" s="27">
        <f t="shared" si="15"/>
        <v>414.17803636363641</v>
      </c>
      <c r="F155" s="63">
        <f t="shared" si="16"/>
        <v>0</v>
      </c>
    </row>
    <row r="156" spans="2:12">
      <c r="C156" s="1" t="s">
        <v>20</v>
      </c>
      <c r="D156" s="27">
        <f t="shared" si="14"/>
        <v>489.76293600000002</v>
      </c>
      <c r="E156" s="27">
        <f t="shared" si="15"/>
        <v>374.22000000000008</v>
      </c>
      <c r="F156" s="63">
        <f t="shared" si="16"/>
        <v>0</v>
      </c>
    </row>
    <row r="157" spans="2:12">
      <c r="C157" s="1" t="s">
        <v>21</v>
      </c>
      <c r="D157" s="27">
        <f t="shared" si="14"/>
        <v>526.27422799999999</v>
      </c>
      <c r="E157" s="27">
        <f t="shared" si="15"/>
        <v>356.47069090909093</v>
      </c>
      <c r="F157" s="63">
        <f t="shared" si="16"/>
        <v>0</v>
      </c>
    </row>
    <row r="158" spans="2:12">
      <c r="C158" s="1" t="s">
        <v>22</v>
      </c>
      <c r="D158" s="27">
        <f t="shared" si="14"/>
        <v>529.15792240000007</v>
      </c>
      <c r="E158" s="27">
        <f t="shared" si="15"/>
        <v>339.39589090909095</v>
      </c>
      <c r="F158" s="63">
        <f t="shared" si="16"/>
        <v>0</v>
      </c>
    </row>
    <row r="159" spans="2:12">
      <c r="C159" s="1" t="s">
        <v>23</v>
      </c>
      <c r="D159" s="27">
        <f t="shared" si="14"/>
        <v>520.460328</v>
      </c>
      <c r="E159" s="27">
        <f t="shared" si="15"/>
        <v>307.24036363636361</v>
      </c>
      <c r="F159" s="63">
        <f t="shared" si="16"/>
        <v>0</v>
      </c>
    </row>
    <row r="160" spans="2:12">
      <c r="C160" s="1" t="s">
        <v>24</v>
      </c>
      <c r="D160" s="27">
        <f t="shared" si="14"/>
        <v>563.76225519999991</v>
      </c>
      <c r="E160" s="27">
        <f t="shared" si="15"/>
        <v>274.74905454545456</v>
      </c>
      <c r="F160" s="63">
        <f t="shared" si="16"/>
        <v>0</v>
      </c>
    </row>
    <row r="161" spans="3:6">
      <c r="C161" s="1" t="s">
        <v>25</v>
      </c>
      <c r="D161" s="27">
        <f t="shared" si="14"/>
        <v>576.2737679999999</v>
      </c>
      <c r="E161" s="27">
        <f t="shared" si="15"/>
        <v>241.76290909090909</v>
      </c>
      <c r="F161" s="63">
        <f t="shared" si="16"/>
        <v>0</v>
      </c>
    </row>
    <row r="162" spans="3:6">
      <c r="C162" s="1" t="s">
        <v>26</v>
      </c>
      <c r="D162" s="27">
        <f t="shared" si="14"/>
        <v>622.87799040000004</v>
      </c>
      <c r="E162" s="27">
        <f t="shared" si="15"/>
        <v>200.88000000000002</v>
      </c>
      <c r="F162" s="63">
        <f t="shared" si="16"/>
        <v>0</v>
      </c>
    </row>
    <row r="164" spans="3:6">
      <c r="C164" s="83" t="s">
        <v>116</v>
      </c>
      <c r="D164" s="5"/>
      <c r="E164" s="5"/>
      <c r="F164" s="5"/>
    </row>
    <row r="166" spans="3:6" ht="45">
      <c r="C166" s="34" t="s">
        <v>78</v>
      </c>
      <c r="D166" s="34" t="str">
        <f>D150</f>
        <v>Q Calor necesario para calentar agua [kWh]</v>
      </c>
      <c r="E166" s="34" t="s">
        <v>145</v>
      </c>
      <c r="F166" s="34" t="s">
        <v>146</v>
      </c>
    </row>
    <row r="167" spans="3:6">
      <c r="C167" s="1" t="s">
        <v>47</v>
      </c>
      <c r="D167" s="27">
        <f>D151</f>
        <v>624.31983759999991</v>
      </c>
      <c r="E167" s="27">
        <f>IF($D151&gt;E151,E151,$D151)</f>
        <v>225.99</v>
      </c>
      <c r="F167" s="27">
        <f>IF($D151&gt;F151,F151,$D151)</f>
        <v>0</v>
      </c>
    </row>
    <row r="168" spans="3:6">
      <c r="C168" s="1" t="s">
        <v>16</v>
      </c>
      <c r="D168" s="27">
        <f t="shared" ref="D168:D178" si="17">D152</f>
        <v>548.27402559999996</v>
      </c>
      <c r="E168" s="27">
        <f t="shared" ref="E168" si="18">IF($D152&gt;E152,E152,$D152)</f>
        <v>244.44916363636364</v>
      </c>
      <c r="F168" s="27">
        <f t="shared" ref="F168:F178" si="19">IF($D152&gt;F152,F152,$D152)</f>
        <v>0</v>
      </c>
    </row>
    <row r="169" spans="3:6">
      <c r="C169" s="1" t="s">
        <v>17</v>
      </c>
      <c r="D169" s="27">
        <f t="shared" si="17"/>
        <v>563.76225519999991</v>
      </c>
      <c r="E169" s="27">
        <f t="shared" ref="E169" si="20">IF($D153&gt;E153,E153,$D153)</f>
        <v>317.84694545454545</v>
      </c>
      <c r="F169" s="27">
        <f t="shared" si="19"/>
        <v>0</v>
      </c>
    </row>
    <row r="170" spans="3:6">
      <c r="C170" s="1" t="s">
        <v>18</v>
      </c>
      <c r="D170" s="27">
        <f t="shared" si="17"/>
        <v>509.29764</v>
      </c>
      <c r="E170" s="27">
        <f t="shared" ref="E170" si="21">IF($D154&gt;E154,E154,$D154)</f>
        <v>355.75200000000001</v>
      </c>
      <c r="F170" s="27">
        <f t="shared" si="19"/>
        <v>0</v>
      </c>
    </row>
    <row r="171" spans="3:6">
      <c r="C171" s="1" t="s">
        <v>19</v>
      </c>
      <c r="D171" s="27">
        <f t="shared" si="17"/>
        <v>497.43728400000003</v>
      </c>
      <c r="E171" s="27">
        <f t="shared" ref="E171" si="22">IF($D155&gt;E155,E155,$D155)</f>
        <v>414.17803636363641</v>
      </c>
      <c r="F171" s="27">
        <f t="shared" si="19"/>
        <v>0</v>
      </c>
    </row>
    <row r="172" spans="3:6">
      <c r="C172" s="1" t="s">
        <v>20</v>
      </c>
      <c r="D172" s="27">
        <f t="shared" si="17"/>
        <v>489.76293600000002</v>
      </c>
      <c r="E172" s="27">
        <f t="shared" ref="E172" si="23">IF($D156&gt;E156,E156,$D156)</f>
        <v>374.22000000000008</v>
      </c>
      <c r="F172" s="27">
        <f t="shared" si="19"/>
        <v>0</v>
      </c>
    </row>
    <row r="173" spans="3:6">
      <c r="C173" s="1" t="s">
        <v>21</v>
      </c>
      <c r="D173" s="27">
        <f t="shared" si="17"/>
        <v>526.27422799999999</v>
      </c>
      <c r="E173" s="27">
        <f t="shared" ref="E173" si="24">IF($D157&gt;E157,E157,$D157)</f>
        <v>356.47069090909093</v>
      </c>
      <c r="F173" s="27">
        <f t="shared" si="19"/>
        <v>0</v>
      </c>
    </row>
    <row r="174" spans="3:6">
      <c r="C174" s="1" t="s">
        <v>22</v>
      </c>
      <c r="D174" s="27">
        <f t="shared" si="17"/>
        <v>529.15792240000007</v>
      </c>
      <c r="E174" s="27">
        <f t="shared" ref="E174" si="25">IF($D158&gt;E158,E158,$D158)</f>
        <v>339.39589090909095</v>
      </c>
      <c r="F174" s="27">
        <f t="shared" si="19"/>
        <v>0</v>
      </c>
    </row>
    <row r="175" spans="3:6">
      <c r="C175" s="1" t="s">
        <v>23</v>
      </c>
      <c r="D175" s="27">
        <f t="shared" si="17"/>
        <v>520.460328</v>
      </c>
      <c r="E175" s="27">
        <f t="shared" ref="E175" si="26">IF($D159&gt;E159,E159,$D159)</f>
        <v>307.24036363636361</v>
      </c>
      <c r="F175" s="27">
        <f t="shared" si="19"/>
        <v>0</v>
      </c>
    </row>
    <row r="176" spans="3:6">
      <c r="C176" s="1" t="s">
        <v>24</v>
      </c>
      <c r="D176" s="27">
        <f t="shared" si="17"/>
        <v>563.76225519999991</v>
      </c>
      <c r="E176" s="27">
        <f t="shared" ref="E176" si="27">IF($D160&gt;E160,E160,$D160)</f>
        <v>274.74905454545456</v>
      </c>
      <c r="F176" s="27">
        <f t="shared" si="19"/>
        <v>0</v>
      </c>
    </row>
    <row r="177" spans="1:8">
      <c r="C177" s="1" t="s">
        <v>25</v>
      </c>
      <c r="D177" s="27">
        <f t="shared" si="17"/>
        <v>576.2737679999999</v>
      </c>
      <c r="E177" s="27">
        <f t="shared" ref="E177" si="28">IF($D161&gt;E161,E161,$D161)</f>
        <v>241.76290909090909</v>
      </c>
      <c r="F177" s="27">
        <f t="shared" si="19"/>
        <v>0</v>
      </c>
    </row>
    <row r="178" spans="1:8">
      <c r="C178" s="1" t="s">
        <v>26</v>
      </c>
      <c r="D178" s="27">
        <f t="shared" si="17"/>
        <v>622.87799040000004</v>
      </c>
      <c r="E178" s="27">
        <f t="shared" ref="E178" si="29">IF($D162&gt;E162,E162,$D162)</f>
        <v>200.88000000000002</v>
      </c>
      <c r="F178" s="27">
        <f t="shared" si="19"/>
        <v>0</v>
      </c>
    </row>
    <row r="179" spans="1:8">
      <c r="C179" s="84" t="s">
        <v>117</v>
      </c>
      <c r="D179" s="85">
        <f>SUM(D167:D178)</f>
        <v>6571.6604704000001</v>
      </c>
      <c r="E179" s="85">
        <f>SUM(E167:E178)</f>
        <v>3652.9350545454549</v>
      </c>
      <c r="F179" s="85">
        <f>SUM(F167:F178)</f>
        <v>0</v>
      </c>
    </row>
    <row r="181" spans="1:8">
      <c r="C181" s="34"/>
      <c r="D181" s="34" t="s">
        <v>118</v>
      </c>
      <c r="E181" s="34" t="s">
        <v>119</v>
      </c>
    </row>
    <row r="182" spans="1:8">
      <c r="C182" s="1" t="s">
        <v>89</v>
      </c>
      <c r="D182" s="35">
        <f>E179/$D$179</f>
        <v>0.55586180555111819</v>
      </c>
      <c r="E182" s="35">
        <f>F179/$D$179</f>
        <v>0</v>
      </c>
    </row>
    <row r="183" spans="1:8">
      <c r="C183" s="56"/>
    </row>
    <row r="184" spans="1:8" ht="30">
      <c r="A184" s="74"/>
      <c r="B184" s="74"/>
      <c r="C184" s="88"/>
      <c r="D184" s="89" t="s">
        <v>120</v>
      </c>
      <c r="E184" s="89" t="s">
        <v>65</v>
      </c>
      <c r="F184" s="74"/>
      <c r="G184" s="74"/>
      <c r="H184" s="74"/>
    </row>
    <row r="185" spans="1:8">
      <c r="C185" s="87" t="s">
        <v>102</v>
      </c>
      <c r="D185" s="86">
        <f>VLOOKUP(D15,C66:E68,2,FALSE)</f>
        <v>0.74</v>
      </c>
      <c r="E185" s="86">
        <f>VLOOKUP(D15,C66:E68,3,FALSE)</f>
        <v>0.5</v>
      </c>
    </row>
    <row r="186" spans="1:8">
      <c r="C186" s="56"/>
    </row>
    <row r="187" spans="1:8">
      <c r="C187" s="48" t="s">
        <v>93</v>
      </c>
      <c r="D187" s="5"/>
      <c r="E187" s="5"/>
      <c r="F187" s="5"/>
    </row>
    <row r="188" spans="1:8">
      <c r="C188" s="46"/>
    </row>
    <row r="189" spans="1:8">
      <c r="C189" s="34"/>
      <c r="D189" s="34" t="s">
        <v>118</v>
      </c>
      <c r="E189" s="34" t="s">
        <v>119</v>
      </c>
    </row>
    <row r="190" spans="1:8">
      <c r="C190" s="1" t="s">
        <v>94</v>
      </c>
      <c r="D190" s="27">
        <f>E179/$E$71/$E$185</f>
        <v>531.39314139210808</v>
      </c>
      <c r="E190" s="27">
        <f>F179/$E$71/$E$185</f>
        <v>0</v>
      </c>
    </row>
    <row r="191" spans="1:8">
      <c r="C191" s="1" t="s">
        <v>95</v>
      </c>
      <c r="D191" s="27">
        <f>E179/$E$72/$E$185</f>
        <v>700.6465616487784</v>
      </c>
      <c r="E191" s="27">
        <f>F179/$E$72/$E$185</f>
        <v>0</v>
      </c>
    </row>
    <row r="193" spans="3:8">
      <c r="C193" s="1" t="s">
        <v>100</v>
      </c>
      <c r="D193" s="27">
        <f>IF($D$17=$C$71,D190,D191)</f>
        <v>531.39314139210808</v>
      </c>
      <c r="E193" s="27">
        <f t="shared" ref="E193" si="30">IF($D$17=$C$71,E190,E191)</f>
        <v>0</v>
      </c>
    </row>
    <row r="196" spans="3:8">
      <c r="C196" s="4" t="s">
        <v>91</v>
      </c>
      <c r="D196" s="27">
        <f>IF($D$17=$C$71,G71,G72)</f>
        <v>12.24</v>
      </c>
    </row>
    <row r="197" spans="3:8">
      <c r="C197" s="4" t="s">
        <v>101</v>
      </c>
      <c r="D197" s="27">
        <f>VLOOKUP(D17,C71:F72,4,FALSE)</f>
        <v>227.16</v>
      </c>
    </row>
    <row r="199" spans="3:8" ht="18.75">
      <c r="C199" s="41" t="s">
        <v>103</v>
      </c>
      <c r="D199" s="5"/>
      <c r="E199" s="5"/>
    </row>
    <row r="201" spans="3:8">
      <c r="C201" s="70" t="s">
        <v>81</v>
      </c>
      <c r="D201" s="18" t="str">
        <f>L144</f>
        <v xml:space="preserve">T - CSP - 300 - 4 </v>
      </c>
      <c r="E201" s="18" t="str">
        <f>L146</f>
        <v>C - CSP</v>
      </c>
    </row>
    <row r="202" spans="3:8">
      <c r="C202" s="1" t="s">
        <v>147</v>
      </c>
      <c r="D202" s="4">
        <f>SUM(I143:I144)</f>
        <v>3.6</v>
      </c>
      <c r="E202" s="4">
        <f>I146</f>
        <v>0</v>
      </c>
      <c r="G202" s="90">
        <f>SUM(D202:E202)</f>
        <v>3.6</v>
      </c>
    </row>
    <row r="203" spans="3:8">
      <c r="C203" s="1" t="s">
        <v>112</v>
      </c>
      <c r="D203" s="29">
        <f>SUM(J143:J144)</f>
        <v>300</v>
      </c>
      <c r="E203" s="95">
        <f>J146</f>
        <v>0</v>
      </c>
      <c r="G203" s="30">
        <f t="shared" ref="G203:G208" si="31">SUM(D203:E203)</f>
        <v>300</v>
      </c>
    </row>
    <row r="204" spans="3:8">
      <c r="C204" s="1" t="s">
        <v>122</v>
      </c>
      <c r="D204" s="44">
        <f>D182</f>
        <v>0.55586180555111819</v>
      </c>
      <c r="E204" s="44">
        <f>E182</f>
        <v>0</v>
      </c>
      <c r="G204" s="35">
        <f t="shared" si="31"/>
        <v>0.55586180555111819</v>
      </c>
      <c r="H204" s="115">
        <f>(G204)*100</f>
        <v>55.586180555111817</v>
      </c>
    </row>
    <row r="205" spans="3:8">
      <c r="C205" s="71" t="s">
        <v>97</v>
      </c>
      <c r="D205" s="72">
        <f>D193*$D$196</f>
        <v>6504.252050639403</v>
      </c>
      <c r="E205" s="72">
        <f>E193*$D$196</f>
        <v>0</v>
      </c>
      <c r="G205" s="30">
        <f t="shared" si="31"/>
        <v>6504.252050639403</v>
      </c>
    </row>
    <row r="206" spans="3:8">
      <c r="C206" s="68" t="s">
        <v>99</v>
      </c>
      <c r="D206" s="69">
        <f>IF(D205=0,0,SUM(K143:K144)/D205)</f>
        <v>2.767420428953165</v>
      </c>
      <c r="E206" s="69">
        <f>IF(E205=0,0,K146/E205)</f>
        <v>0</v>
      </c>
      <c r="G206" s="90">
        <f t="shared" si="31"/>
        <v>2.767420428953165</v>
      </c>
    </row>
    <row r="207" spans="3:8">
      <c r="C207" s="71" t="s">
        <v>98</v>
      </c>
      <c r="D207" s="73">
        <f>D193</f>
        <v>531.39314139210808</v>
      </c>
      <c r="E207" s="73">
        <f>E193</f>
        <v>0</v>
      </c>
      <c r="G207" s="30">
        <f t="shared" si="31"/>
        <v>531.39314139210808</v>
      </c>
    </row>
    <row r="208" spans="3:8" ht="30">
      <c r="C208" s="68" t="s">
        <v>96</v>
      </c>
      <c r="D208" s="30">
        <f>E179*$D$197/$E$185/1000</f>
        <v>1659.601453981091</v>
      </c>
      <c r="E208" s="30">
        <f>F179*$D$197/$E$185/1000</f>
        <v>0</v>
      </c>
      <c r="G208" s="30">
        <f t="shared" si="31"/>
        <v>1659.601453981091</v>
      </c>
    </row>
    <row r="211" spans="3:7">
      <c r="E211"/>
    </row>
    <row r="213" spans="3:7">
      <c r="G213" t="s">
        <v>124</v>
      </c>
    </row>
    <row r="214" spans="3:7" ht="45">
      <c r="C214" s="91" t="s">
        <v>128</v>
      </c>
      <c r="D214" s="3" t="str">
        <f>IF(G146=0,G214,G213)</f>
        <v>termosifónico (circulación natural)</v>
      </c>
      <c r="G214" t="s">
        <v>125</v>
      </c>
    </row>
    <row r="215" spans="3:7">
      <c r="C215" s="91" t="s">
        <v>123</v>
      </c>
      <c r="D215" s="92">
        <f>INT(G203)</f>
        <v>300</v>
      </c>
      <c r="G215"/>
    </row>
    <row r="216" spans="3:7" ht="30">
      <c r="C216" s="91" t="s">
        <v>127</v>
      </c>
      <c r="D216" s="93">
        <f>INT(G202)</f>
        <v>3</v>
      </c>
      <c r="G216"/>
    </row>
    <row r="217" spans="3:7" ht="17.25">
      <c r="C217" t="s">
        <v>126</v>
      </c>
    </row>
    <row r="218" spans="3:7" ht="30">
      <c r="C218" s="91" t="s">
        <v>130</v>
      </c>
      <c r="D218" t="str">
        <f>Entradas!C14</f>
        <v>Gas LP</v>
      </c>
    </row>
    <row r="219" spans="3:7">
      <c r="C219" t="s">
        <v>131</v>
      </c>
      <c r="D219" s="116">
        <f>INT(H204)</f>
        <v>55</v>
      </c>
      <c r="E219" t="s">
        <v>129</v>
      </c>
    </row>
    <row r="220" spans="3:7">
      <c r="C220" t="s">
        <v>133</v>
      </c>
      <c r="D220" s="92">
        <f>INT(G207)</f>
        <v>531</v>
      </c>
      <c r="E220" s="3" t="str">
        <f>IF(D218=C71,D71,D72)</f>
        <v>Kg</v>
      </c>
    </row>
    <row r="221" spans="3:7">
      <c r="C221" t="s">
        <v>134</v>
      </c>
      <c r="D221" s="94">
        <f>INT(G205)</f>
        <v>6504</v>
      </c>
    </row>
    <row r="222" spans="3:7">
      <c r="C222" t="s">
        <v>135</v>
      </c>
      <c r="D222" s="93">
        <f>INT(G206)</f>
        <v>2</v>
      </c>
      <c r="E222" t="s">
        <v>138</v>
      </c>
    </row>
    <row r="223" spans="3:7">
      <c r="C223" t="s">
        <v>136</v>
      </c>
      <c r="D223" s="92">
        <f>INT(G208)</f>
        <v>1659</v>
      </c>
    </row>
    <row r="224" spans="3:7" ht="18">
      <c r="C224" t="s">
        <v>137</v>
      </c>
    </row>
  </sheetData>
  <dataValidations disablePrompts="1" count="5">
    <dataValidation type="list" allowBlank="1" showInputMessage="1" showErrorMessage="1" sqref="D11">
      <formula1>$C$43:$C$63</formula1>
    </dataValidation>
    <dataValidation type="list" allowBlank="1" showInputMessage="1" showErrorMessage="1" sqref="D9">
      <formula1>$D$26:$D$30</formula1>
    </dataValidation>
    <dataValidation type="list" allowBlank="1" showInputMessage="1" showErrorMessage="1" sqref="D17">
      <formula1>$C$71:$C$72</formula1>
    </dataValidation>
    <dataValidation type="list" allowBlank="1" showInputMessage="1" showErrorMessage="1" sqref="D15">
      <formula1>$C$66:$C$68</formula1>
    </dataValidation>
    <dataValidation type="decimal" allowBlank="1" showInputMessage="1" showErrorMessage="1" sqref="D13">
      <formula1>0</formula1>
      <formula2>5000</formula2>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Inicio</vt:lpstr>
      <vt:lpstr>Entradas</vt:lpstr>
      <vt:lpstr>Salidas</vt:lpstr>
      <vt:lpstr>Cálculos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Cuevas</dc:creator>
  <cp:lastModifiedBy>Practicante</cp:lastModifiedBy>
  <dcterms:created xsi:type="dcterms:W3CDTF">2013-07-26T18:11:22Z</dcterms:created>
  <dcterms:modified xsi:type="dcterms:W3CDTF">2017-01-20T17:22:57Z</dcterms:modified>
</cp:coreProperties>
</file>